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0320" activeTab="3"/>
  </bookViews>
  <sheets>
    <sheet name="DADOS" sheetId="1" r:id="rId1"/>
    <sheet name="BDI (1)" sheetId="2" state="hidden" r:id="rId2"/>
    <sheet name="BDI (2)" sheetId="3" state="hidden" r:id="rId3"/>
    <sheet name="PO" sheetId="4" r:id="rId4"/>
    <sheet name="PLQ" sheetId="5" state="hidden" r:id="rId5"/>
    <sheet name="CFF" sheetId="6" r:id="rId6"/>
  </sheets>
  <definedNames>
    <definedName name="_xlfn.BAHTTEXT" hidden="1">#NAME?</definedName>
    <definedName name="_xlfn.IFERROR" hidden="1">#NAME?</definedName>
    <definedName name="_xlnm.Print_Area" localSheetId="1">'BDI (1)'!$I$1:$R$50</definedName>
    <definedName name="_xlnm.Print_Area" localSheetId="2">'BDI (2)'!$I$1:$R$50</definedName>
    <definedName name="_xlnm.Print_Area" localSheetId="5">'CFF'!$L$1:$X$33</definedName>
    <definedName name="_xlnm.Print_Area" localSheetId="0">'DADOS'!$A$1:$X$87</definedName>
    <definedName name="_xlnm.Print_Area" localSheetId="4">'PLQ'!$B$1:$P$35</definedName>
    <definedName name="_xlnm.Print_Area" localSheetId="3">'PO'!$K$1:$T$44</definedName>
    <definedName name="DATABASE">TEXT(Import.DataBase,"mm-aaaa")</definedName>
    <definedName name="CFF.ColunaPadrão">'CFF'!$AC:$AC</definedName>
    <definedName name="CFF.Colunas">'CFF'!$P$10:$X$10</definedName>
    <definedName name="CFF.Dados">OFFSET('CFF'!$L$17,1,0):OFFSET('CFF'!$X$27,-1,-1)</definedName>
    <definedName name="CFF.IncluirLinha">MAX('PO'!$V$12:$V$29)*CFF.NumLinha-ROW('CFF'!$F$27)+ROW('CFF'!$F$17)+1</definedName>
    <definedName name="CFF.Item">OFFSET('CFF'!$L$17,1,0):OFFSET('CFF'!$X$27,-1,-1)</definedName>
    <definedName name="CFF.LinhaPadrão">'CFF'!$A$11:$W$11</definedName>
    <definedName name="CFF.NumLinha">ROW('CFF'!$D$14)-ROW('CFF'!$D$10)-1</definedName>
    <definedName name="Código" localSheetId="3">'PO'!$M1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3">'PO'!$L1</definedName>
    <definedName name="Import.Ação">'DADOS'!$J$29</definedName>
    <definedName name="Import.Apelido">'DADOS'!$Q$32</definedName>
    <definedName name="Import.CNPJ">'DADOS'!$B$57</definedName>
    <definedName name="Import.Código">OFFSET('PO'!$M$12,1,0):OFFSET('PO'!$M$29,-1,0)</definedName>
    <definedName name="Import.CR">'DADOS'!$A$29</definedName>
    <definedName name="Import.CTEF">'DADOS'!$A$43</definedName>
    <definedName name="Import.CustoUnitário">OFFSET('PO'!$Q$12,1,0):OFFSET('PO'!$Q$29,-1,0)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OFFSET('PO'!$N$12,1,0):OFFSET('PO'!$N$29,-1,0)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OFFSET('PO'!$L$12,1,0):OFFSET('PO'!$L$29,-1,0)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OFFSET('PO'!$K$12,1,0):OFFSET('PO'!$K$29,-1,0)</definedName>
    <definedName name="Import.Localidade">'DADOS'!$K$32</definedName>
    <definedName name="Import.LocalSINAPI">'DADOS'!$D$38</definedName>
    <definedName name="Import.Município">'DADOS'!$G$32</definedName>
    <definedName name="Import.Nível">OFFSET('PO'!$J$12,1,0):OFFSET('PO'!$J$29,-1,0)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OFFSET('PLQ'!$F$12,1,0):OFFSET('PLQ'!$P$29,-1,-1)</definedName>
    <definedName name="Import.POArred">'PO'!$X$3:$X$7</definedName>
    <definedName name="Import.PreçoTotal">OFFSET('PO'!$T$12,1,0):OFFSET('PO'!$T$29,-1,0)</definedName>
    <definedName name="Import.PreçoUnitário">OFFSET('PO'!$S$12,1,0):OFFSET('PO'!$S$29,-1,0)</definedName>
    <definedName name="Import.Programa">'DADOS'!$F$29</definedName>
    <definedName name="Import.Proponente">'DADOS'!$A$32</definedName>
    <definedName name="Import.Quantidade">OFFSET('PO'!$P$12,1,0):OFFSET('PO'!$P$29,-1,0)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OFFSET('PO'!$O$12,1,0):OFFSET('PO'!$O$29,-1,0)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OFFSET('PO'!$Z$12,1,0):OFFSET('PO'!$Z$29,-1,0)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'PO'!$K$30</definedName>
    <definedName name="linhaSINAPIxls" localSheetId="3">'PO'!$X1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'PLQ'!$B$9:OFFSET('PLQ'!$B$29,-1,0)</definedName>
    <definedName name="PLQ.LinhaPadrão">'PLQ'!$A$11:$P$11</definedName>
    <definedName name="PLQ.qtde.frentes">COUNTA('PLQ'!$F$9:$P$9)</definedName>
    <definedName name="PO.BDI">OFFSET('PO'!$R$12,1,0):OFFSET('PO'!$R$29,-1,0)</definedName>
    <definedName name="PO.CustoRef">OFFSET('PO'!$Y$12,1,0):OFFSET('PO'!$Y$29,-1,0)</definedName>
    <definedName name="PO.CustoUnitario">ROUND('PO'!$Q1,15-13*'PO'!$X$4)</definedName>
    <definedName name="PO.Dados">'PO'!$C$12:OFFSET('PO'!$Z$29,-1,0)</definedName>
    <definedName name="PO.FormulaQuant">'PO'!$P$9</definedName>
    <definedName name="PO.LinhaPadrão">'PO'!$C$11:$Z$11</definedName>
    <definedName name="PO.PrecoUnitario">ROUND('PO'!$S1,15-13*'PO'!$X$6)</definedName>
    <definedName name="PO.Quantidade">ROUND('PO'!$P1,15-13*'PO'!$X$3)</definedName>
    <definedName name="Referencia.Descricao" localSheetId="2">#N/A</definedName>
    <definedName name="Referencia.Descricao">IF(ISNUMBER('PO'!linhaSINAPIxls),INDEX(INDIRECT("'[Referência "&amp;DATABASE&amp;".xls]Banco'!$b:$g"),'PO'!linhaSINAPIxls,3),"")</definedName>
    <definedName name="Referencia.Desonerado" localSheetId="2">#N/A</definedName>
    <definedName name="Referencia.Desonerado">IF(ISNUMBER('PO'!linhaSINAPIxls),VALUE(INDEX(INDIRECT("'[Referência "&amp;DATABASE&amp;".xls]Banco'!$b:$g"),'PO'!linhaSINAPIxls,5)),0)</definedName>
    <definedName name="Referencia.NaoDesonerado" localSheetId="2">#N/A</definedName>
    <definedName name="Referencia.NaoDesonerado">IF(ISNUMBER('PO'!linhaSINAPIxls),VALUE(INDEX(INDIRECT("'[Referência "&amp;DATABASE&amp;".xls]Banco'!$b:$g"),'PO'!linhaSINAPIxls,6)),0)</definedName>
    <definedName name="Referencia.Unidade" localSheetId="2">#N/A</definedName>
    <definedName name="Referencia.Unidade">IF(ISNUMBER('PO'!linhaSINAPIxls),INDEX(INDIRECT("'[Referência "&amp;DATABASE&amp;".xls]Banco'!$b:$g"),'PO'!linhaSINAPIxls,4),"")</definedName>
    <definedName name="SaldoPerc">1-IF(ISNUMBER('CFF'!IV2),'CFF'!IV2,0)</definedName>
    <definedName name="SENHAGT" hidden="1">"quantidades"</definedName>
    <definedName name="SomaAgrup">SUMIF(OFFSET('PO'!$A1,1,0,'PO'!$B1),"S",OFFSET('PO'!A1,1,0,'PO'!$B1))</definedName>
    <definedName name="TipoOrçamento">"LICITADO"</definedName>
    <definedName name="_xlnm.Print_Titles" localSheetId="5">'CFF'!$L:$O,'CFF'!$10:$10</definedName>
    <definedName name="_xlnm.Print_Titles" localSheetId="4">'PLQ'!$B:$E,'PLQ'!$9:$10</definedName>
    <definedName name="_xlnm.Print_Titles" localSheetId="3">'PO'!$10:$10</definedName>
    <definedName name="Versao">'DADOS'!$A$2</definedName>
    <definedName name="VTOTAL1">ROUND(PO.Quantidade*PO.PrecoUnitario,15-13*'PO'!$X$7)</definedName>
  </definedNames>
  <calcPr fullCalcOnLoad="1"/>
</workbook>
</file>

<file path=xl/sharedStrings.xml><?xml version="1.0" encoding="utf-8"?>
<sst xmlns="http://schemas.openxmlformats.org/spreadsheetml/2006/main" count="579" uniqueCount="276">
  <si>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</si>
  <si>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</si>
  <si>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</si>
  <si>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</si>
  <si>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</si>
  <si>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</si>
  <si>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</si>
  <si>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</si>
  <si>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</si>
  <si>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</si>
  <si>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</si>
  <si>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</si>
  <si>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</si>
  <si>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</si>
  <si>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</si>
  <si>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</si>
  <si>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</si>
  <si>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</si>
  <si>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</si>
  <si>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</si>
  <si>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</si>
  <si>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</si>
  <si>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</si>
  <si>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</si>
  <si>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</si>
  <si>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</si>
  <si>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</si>
  <si>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</si>
  <si>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</si>
  <si>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</si>
  <si>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</si>
  <si>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</si>
  <si>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</si>
  <si>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</si>
  <si>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</si>
  <si>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</si>
  <si>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</si>
  <si>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</si>
  <si>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</si>
  <si>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</si>
  <si>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</si>
  <si>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</si>
  <si>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</si>
  <si>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</si>
  <si>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</si>
  <si>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</si>
  <si>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</si>
  <si>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</si>
  <si>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</si>
  <si>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</si>
  <si>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</si>
  <si>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</si>
  <si>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</si>
  <si>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</si>
  <si>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</si>
  <si>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</si>
  <si>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</si>
  <si>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</si>
  <si>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</si>
  <si>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</si>
  <si>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</si>
  <si>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</si>
  <si>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</si>
  <si>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</si>
  <si>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</si>
  <si>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</si>
  <si>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</si>
  <si>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</si>
  <si>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</si>
  <si>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</si>
  <si>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</si>
  <si>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</si>
  <si>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</si>
  <si>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</si>
  <si>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</si>
  <si>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</si>
  <si>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</si>
  <si>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</si>
  <si>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</si>
  <si>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</si>
  <si>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</si>
  <si>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</si>
  <si>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</si>
  <si>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</si>
  <si>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</si>
  <si>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</si>
  <si>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</si>
  <si>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</si>
  <si>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</si>
  <si>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</si>
  <si>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</si>
  <si>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</si>
  <si>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</si>
  <si>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</si>
  <si>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</si>
  <si>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</si>
  <si>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</si>
  <si>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</si>
  <si>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</si>
  <si>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</si>
  <si>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</si>
  <si>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</si>
  <si>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</si>
  <si>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</si>
  <si>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</si>
  <si>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</si>
  <si>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</si>
  <si>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</si>
  <si>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</si>
  <si>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</si>
  <si>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</si>
  <si>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</si>
  <si>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</si>
  <si>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</si>
  <si>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</si>
  <si>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</si>
  <si>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</si>
  <si>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</si>
  <si>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</si>
  <si>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</si>
  <si>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</si>
  <si>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</si>
  <si>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</si>
  <si>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</si>
  <si>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</si>
  <si>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</si>
  <si>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</si>
  <si>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</si>
  <si>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</si>
  <si>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</si>
  <si>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</si>
  <si>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</si>
  <si>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</si>
  <si>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</si>
  <si>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</si>
  <si>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</si>
  <si>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</si>
  <si>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</si>
  <si>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</si>
  <si>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</si>
  <si>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</si>
  <si>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</si>
  <si>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</si>
  <si>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</si>
  <si>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</si>
  <si>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</si>
  <si>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</si>
  <si>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</si>
  <si>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</si>
  <si>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</si>
  <si>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</si>
  <si>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</si>
  <si>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</si>
  <si>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</si>
  <si>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</si>
  <si>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</si>
  <si>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</si>
  <si>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</si>
  <si>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</si>
  <si>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</si>
  <si>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</si>
  <si>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</si>
  <si>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</si>
  <si>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</si>
  <si>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</si>
  <si>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</si>
  <si>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</si>
  <si>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</si>
  <si>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</si>
  <si>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</si>
  <si>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</si>
  <si>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</si>
  <si>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</si>
  <si>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</si>
  <si>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</si>
  <si>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</si>
  <si>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</si>
  <si>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</si>
  <si>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</si>
  <si>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</si>
  <si>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</si>
  <si>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</si>
  <si>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</si>
  <si>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</si>
  <si>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</si>
  <si>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</si>
  <si>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</si>
  <si>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</si>
  <si>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</si>
  <si>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</si>
  <si>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</si>
  <si>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</si>
  <si>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</si>
  <si>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</si>
  <si>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</si>
  <si>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</si>
  <si>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</si>
  <si>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</si>
  <si>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</si>
  <si>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</si>
  <si>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</si>
  <si>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</si>
  <si>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</si>
  <si>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</si>
  <si>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</si>
  <si>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</si>
  <si>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</si>
  <si>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</si>
  <si>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</si>
  <si>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</si>
  <si>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</si>
  <si>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</si>
  <si>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</si>
  <si>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</si>
  <si>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</si>
  <si>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</si>
  <si>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</si>
  <si>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</si>
  <si>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</si>
  <si>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</si>
  <si>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</si>
  <si>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</si>
  <si>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</si>
  <si>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</si>
  <si>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</si>
  <si>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</si>
  <si>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</si>
  <si>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</si>
  <si>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</si>
  <si>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SINAPI</t>
  </si>
  <si>
    <t>SINAPI-I</t>
  </si>
  <si>
    <t>PAVIMENTAÇÃO</t>
  </si>
  <si>
    <t>72961</t>
  </si>
  <si>
    <t>72840</t>
  </si>
  <si>
    <t>94273</t>
  </si>
  <si>
    <t>36170</t>
  </si>
  <si>
    <t>Única</t>
  </si>
  <si>
    <t>Sim</t>
  </si>
  <si>
    <t>CANDIOTA/RS</t>
  </si>
  <si>
    <t>PREFEITURA MUNICIPAL DE CANDIOTA</t>
  </si>
  <si>
    <t>NÃO</t>
  </si>
  <si>
    <t>ADRIANO CASTRO DOS SANTOS</t>
  </si>
  <si>
    <t>PREFEITO</t>
  </si>
  <si>
    <t>CÓDIGO</t>
  </si>
  <si>
    <t>001</t>
  </si>
  <si>
    <t>M</t>
  </si>
  <si>
    <t>REGULARIZACAO E COMPACTACAO DE SUBLEITO ATE 20 CM DE ESPESSURA</t>
  </si>
  <si>
    <t>M2</t>
  </si>
  <si>
    <t>BLOQUETE/PISO INTERTRAVADO DE CONCRETO - ONDA/16 FACES/UNISTEIN/PAVIS, *22 CM X 11* CM, E = 8 CM, RESISTENCIA DE 35 MPA (NBR 9781), COR NATURAL</t>
  </si>
  <si>
    <t>ASSENTAMENTO DE BLOCO INTERTRAVADO S/ BLOQUETE</t>
  </si>
  <si>
    <t>TRANSPORTE COMERCIAL COM CAMINHAO CARROCERIA 9 T, RODOVIA PAVIMENTADA</t>
  </si>
  <si>
    <t>TXKM</t>
  </si>
  <si>
    <t>ASSENTAMENTO DE GUIA (MEIO-FIO) EM TRECHO RETO, CONFECCIONADA EM CONCRETO PRÉ-FABRICADO, DIMENSÕES 100X15X13X30 CM (COMPRIMENTO X BASE INFERIOR X BASE SUPERIOR X ALTURA), PARA VIAS URBANAS (USO VIÁRIO). AF_06/2016</t>
  </si>
  <si>
    <t>SERVIÇOS PRELIMINARES</t>
  </si>
  <si>
    <t>78472</t>
  </si>
  <si>
    <t>74209/1</t>
  </si>
  <si>
    <t>PAVIMENTAÇÃO  DE DIVERSAS VIAS NO MUNICÍPIO DE CANDIOTA</t>
  </si>
  <si>
    <t>DRENAGEM</t>
  </si>
  <si>
    <t>90099</t>
  </si>
  <si>
    <t>92809</t>
  </si>
  <si>
    <t>93380</t>
  </si>
  <si>
    <t>83659</t>
  </si>
  <si>
    <t>12578</t>
  </si>
  <si>
    <t>94342</t>
  </si>
  <si>
    <t>VILA DO SEIVAL</t>
  </si>
  <si>
    <t>PAVIMENTAÇÃO  DA AVENIDA JOSÉ DE ABREU</t>
  </si>
  <si>
    <t>PLACA DE OBRA EM CHAPA DE ACO GALVANIZADO</t>
  </si>
  <si>
    <t>SERVICOS TOPOGRAFICOS PARA PAVIMENTACAO, INCLUSIVE NOTA DE SERVICOS, ACOMPANHAMENTO E GREIDE</t>
  </si>
  <si>
    <t>ESCAVAÇÃO MECANIZADA DE VALA COM PROF. ATÉ 1,5 M (MÉDIA ENTRE MONTANTE E JUSANTE/UMA COMPOSIÇÃO POR TRECHO), COM RETROESCAVADEIRA (0,26 M3/88 HP), LARG. MENOR QUE 0,8 M, EM SOLO DE 1A CATEGORIA, EM LOCAIS COM ALTO NÍVEL DE INTERFERÊNCIA. AF_01/2015</t>
  </si>
  <si>
    <t>TUBO CONCRETO ARMADO, CLASSE PA-3, PB, DN 600 MM, PARA AGUAS PLUVIAIS (NBR 8890)</t>
  </si>
  <si>
    <t>ASSENTAMENTO DE TUBO DE CONCRETO PARA REDES COLETORAS DE ÁGUAS PLUVIAIS, DIÂMETRO DE 400 MM, JUNTA RÍGIDA, INSTALADO EM LOCAL COM BAIXO NÍVEL DE INTERFERÊNCIAS (NÃO INCLUI FORNECIMENTO). AF_12/2015</t>
  </si>
  <si>
    <t>REATERRO MECANIZADO DE VALA COM RETROESCAVADEIRA (CAPACIDADE DA CAÇAMBA DA RETRO: 0,26 M³ / POTÊNCIA: 88 HP), LARGURA ATÉ 0,8 M, PROFUNDIDADE DE 1,5 A 3,0 M, COM SOLO (SEM SUBSTITUIÇÃO) DE 1ª CATEGORIA EM LOCAIS COM BAIXO NÍVEL DE INTERFERÊNCIA. AF_04/2016</t>
  </si>
  <si>
    <t>BOCA DE LOBO EM ALVENARIA TIJOLO MACICO, REVESTIDA C/ ARGAMASSA DE CIMENTO E AREIA 1:3, SOBRE LASTRO DE CONCRETO 10CM E TAMPA DE CONCRETO ARMADO</t>
  </si>
  <si>
    <t>ATERRO MANUAL DE VALAS COM AREIA PARA ATERRO E COMPACTAÇÃO MECANIZADA. AF_05/2016</t>
  </si>
  <si>
    <t>M3</t>
  </si>
  <si>
    <t>UN</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</si>
</sst>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 #,##0.00_);_(* \(#,##0.00\);_(* &quot;-&quot;??_);_(@_)"/>
    <numFmt numFmtId="166" formatCode="_(&quot;R$&quot;* #,##0_);_(&quot;R$&quot;* \(#,##0\);_(&quot;R$&quot;* &quot;-&quot;_);_(@_)"/>
    <numFmt numFmtId="167" formatCode="_(&quot;R$&quot;* #,##0.00_);_(&quot;R$&quot;* \(#,##0.00\);_(&quot;R$&quot;* &quot;-&quot;??_);_(@_)"/>
    <numFmt numFmtId="168" formatCode="dd/mm/yy;@"/>
    <numFmt numFmtId="169" formatCode="[$-416]mmm\-yy;@"/>
    <numFmt numFmtId="170" formatCode="0.0000%"/>
    <numFmt numFmtId="171" formatCode="#\ ?/??????"/>
    <numFmt numFmtId="172" formatCode="&quot;R$&quot;\ #,##0.00"/>
    <numFmt numFmtId="173" formatCode="#,##0.000"/>
    <numFmt numFmtId="174" formatCode="[$-416]dddd\,\ d&quot; de &quot;mmmm&quot; de &quot;yyyy"/>
    <numFmt numFmtId="175" formatCode="[$-F800]dddd\,\ mmmm\ dd\,\ yyyy"/>
    <numFmt numFmtId="176" formatCode="0&quot;.&quot;"/>
    <numFmt numFmtId="177" formatCode="0.0%"/>
    <numFmt numFmtId="178" formatCode="mm/yyyy;@"/>
    <numFmt numFmtId="179" formatCode="[$-416]d\-mmm;@"/>
    <numFmt numFmtId="180" formatCode="mm/yyyy"/>
    <numFmt numFmtId="181" formatCode="_(* #,##0.000_);_(* \(#,##0.000\);_(* &quot;-&quot;??_);_(@_)"/>
    <numFmt numFmtId="182" formatCode="#,##0.00_ ;[Red]\-#,##0.00\ "/>
    <numFmt numFmtId="183" formatCode="#,##0.00_ ;\-#,##0.00\ "/>
    <numFmt numFmtId="184" formatCode="&quot;R$ &quot;#,##0.00"/>
    <numFmt numFmtId="185" formatCode="[$-416]d\-mmm\-yy;@"/>
    <numFmt numFmtId="186" formatCode="00"/>
    <numFmt numFmtId="187" formatCode="_(* #,##0.00_)"/>
    <numFmt numFmtId="188" formatCode="#,###.00"/>
    <numFmt numFmtId="189" formatCode="#,###.##"/>
    <numFmt numFmtId="190" formatCode="_(* #,##0.00_);_(* \(#,##0.00\);_(* &quot;-&quot;??_);"/>
    <numFmt numFmtId="191" formatCode="_(* #,##0.00_);_(* \(#,##0.00\);"/>
    <numFmt numFmtId="192" formatCode="_(#,##0.00_);_(\(#,##0.00\);_(&quot;-&quot;??_);_(@_)"/>
    <numFmt numFmtId="193" formatCode="_(&quot;R$ &quot;* #,##0.00_);_(&quot;R$ &quot;* \(#,##0.00\);_(&quot;R$ &quot;* &quot;-&quot;??_);_(@_)"/>
    <numFmt numFmtId="194" formatCode="dd\ &quot;de&quot;\ mmmm\ &quot;de&quot;\ yyyy"/>
    <numFmt numFmtId="195" formatCode="0.0"/>
    <numFmt numFmtId="196" formatCode="General;General;"/>
    <numFmt numFmtId="197" formatCode="dd&quot; de &quot;mmmm&quot; de &quot;yyyy"/>
    <numFmt numFmtId="198" formatCode="#,##0.0000"/>
    <numFmt numFmtId="199" formatCode="#,##0.000000"/>
    <numFmt numFmtId="200" formatCode="#,##0.0000000"/>
    <numFmt numFmtId="201" formatCode="#,##0.0000000000000"/>
    <numFmt numFmtId="202" formatCode="&quot;I_&quot;0"/>
    <numFmt numFmtId="203" formatCode="&quot;II_&quot;0"/>
    <numFmt numFmtId="204" formatCode="&quot;III_&quot;0"/>
    <numFmt numFmtId="205" formatCode="&quot;IV_&quot;0"/>
    <numFmt numFmtId="206" formatCode="&quot;V_&quot;0"/>
    <numFmt numFmtId="207" formatCode="&quot;VI_&quot;0"/>
    <numFmt numFmtId="208" formatCode="&quot;VII_&quot;0"/>
    <numFmt numFmtId="209" formatCode="&quot;VIII_&quot;0"/>
    <numFmt numFmtId="210" formatCode="&quot;IX_&quot;0"/>
    <numFmt numFmtId="211" formatCode="&quot;X_&quot;0"/>
    <numFmt numFmtId="212" formatCode="&quot;XI_&quot;0"/>
    <numFmt numFmtId="213" formatCode="&quot;XII_&quot;0"/>
    <numFmt numFmtId="214" formatCode="&quot;XIII_&quot;0"/>
    <numFmt numFmtId="215" formatCode="&quot;XIV_&quot;0"/>
    <numFmt numFmtId="216" formatCode="mmm/yyyy"/>
    <numFmt numFmtId="217" formatCode="dd\ &quot;de&quot;\ mmmm\ \!de"/>
    <numFmt numFmtId="218" formatCode="&quot;Sim&quot;;&quot;Sim&quot;;&quot;Não&quot;"/>
    <numFmt numFmtId="219" formatCode="&quot;Verdadeiro&quot;;&quot;Verdadeiro&quot;;&quot;Falso&quot;"/>
    <numFmt numFmtId="220" formatCode="&quot;Ativado&quot;;&quot;Ativado&quot;;&quot;Desativado&quot;"/>
    <numFmt numFmtId="221" formatCode="[$€-2]\ #,##0.00_);[Red]\([$€-2]\ #,##0.00\)"/>
  </numFmts>
  <fonts count="51">
    <font>
      <sz val="10"/>
      <name val="Arial"/>
      <family val="0"/>
    </font>
    <font>
      <b/>
      <sz val="10"/>
      <name val="Arial"/>
      <family val="0"/>
    </font>
    <font>
      <i/>
      <sz val="10"/>
      <name val="Arial"/>
      <family val="0"/>
    </font>
    <font>
      <b/>
      <i/>
      <sz val="10"/>
      <name val="Arial"/>
      <family val="0"/>
    </font>
    <font>
      <sz val="9"/>
      <name val="Arial"/>
      <family val="2"/>
    </font>
    <font>
      <u val="single"/>
      <sz val="13"/>
      <color indexed="12"/>
      <name val="Arial"/>
      <family val="2"/>
    </font>
    <font>
      <u val="single"/>
      <sz val="13"/>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hair"/>
      <right style="thin"/>
      <top style="hair"/>
      <bottom style="hair"/>
    </border>
    <border>
      <left style="thin"/>
      <right>
        <color indexed="63"/>
      </right>
      <top style="thin"/>
      <bottom>
        <color indexed="63"/>
      </bottom>
    </border>
    <border>
      <left style="thin"/>
      <right style="hair"/>
      <top style="thin"/>
      <bottom style="thin"/>
    </border>
    <border>
      <left style="thin"/>
      <right>
        <color indexed="63"/>
      </right>
      <top style="hair"/>
      <bottom style="hair"/>
    </border>
    <border>
      <left style="hair"/>
      <right style="hair"/>
      <top style="hair"/>
      <bottom style="hair"/>
    </border>
    <border>
      <left style="hair"/>
      <right style="hair"/>
      <top style="thin"/>
      <bottom style="thin"/>
    </border>
    <border>
      <left style="hair"/>
      <right style="hair"/>
      <top>
        <color indexed="63"/>
      </top>
      <bottom>
        <color indexed="63"/>
      </bottom>
    </border>
    <border>
      <left style="thin"/>
      <right style="thin"/>
      <top style="hair"/>
      <bottom style="hair"/>
    </border>
    <border>
      <left style="thin"/>
      <right style="thin"/>
      <top style="hair"/>
      <bottom>
        <color indexed="63"/>
      </bottom>
    </border>
    <border>
      <left style="hair"/>
      <right style="thin"/>
      <top style="thin"/>
      <bottom style="thin"/>
    </border>
    <border>
      <left style="thin"/>
      <right style="thin"/>
      <top style="thin"/>
      <bottom>
        <color indexed="63"/>
      </bottom>
    </border>
    <border>
      <left style="thin"/>
      <right style="hair"/>
      <top style="hair"/>
      <bottom style="hair"/>
    </border>
    <border>
      <left style="thin"/>
      <right>
        <color indexed="63"/>
      </right>
      <top style="thin"/>
      <bottom style="thin"/>
    </border>
    <border>
      <left style="thin"/>
      <right style="thin"/>
      <top>
        <color indexed="63"/>
      </top>
      <bottom style="hair"/>
    </border>
    <border>
      <left style="hair"/>
      <right style="hair"/>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4" fillId="3" borderId="0" applyNumberFormat="0" applyBorder="0" applyAlignment="0" applyProtection="0"/>
    <xf numFmtId="0" fontId="9" fillId="4"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1" fillId="21" borderId="2" applyNumberFormat="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3" fillId="7" borderId="1" applyNumberFormat="0" applyAlignment="0" applyProtection="0"/>
    <xf numFmtId="0" fontId="7" fillId="0" borderId="0">
      <alignment/>
      <protection/>
    </xf>
    <xf numFmtId="0" fontId="18" fillId="0" borderId="0" applyNumberFormat="0" applyFill="0" applyBorder="0" applyAlignment="0" applyProtection="0"/>
    <xf numFmtId="0" fontId="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3" borderId="0" applyNumberFormat="0" applyBorder="0" applyAlignment="0" applyProtection="0"/>
    <xf numFmtId="0" fontId="13" fillId="7" borderId="1" applyNumberFormat="0" applyAlignment="0" applyProtection="0"/>
    <xf numFmtId="0" fontId="12" fillId="0" borderId="3" applyNumberFormat="0" applyFill="0" applyAlignment="0" applyProtection="0"/>
    <xf numFmtId="167"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93" fontId="0"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4"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6" fillId="20" borderId="8" applyNumberFormat="0" applyAlignment="0" applyProtection="0"/>
    <xf numFmtId="164"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65" fontId="0" fillId="0" borderId="0" applyFont="0" applyFill="0" applyBorder="0" applyAlignment="0" applyProtection="0"/>
    <xf numFmtId="0" fontId="17" fillId="0" borderId="0" applyNumberFormat="0" applyFill="0" applyBorder="0" applyAlignment="0" applyProtection="0"/>
  </cellStyleXfs>
  <cellXfs count="400">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Alignment="1">
      <alignment/>
    </xf>
    <xf numFmtId="0" fontId="24" fillId="0" borderId="0" xfId="0" applyFont="1" applyAlignment="1">
      <alignment/>
    </xf>
    <xf numFmtId="0" fontId="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1" fillId="24" borderId="10" xfId="0" applyNumberFormat="1" applyFont="1" applyFill="1" applyBorder="1" applyAlignment="1" applyProtection="1">
      <alignment horizontal="center" vertical="center"/>
      <protection/>
    </xf>
    <xf numFmtId="165" fontId="1" fillId="24" borderId="10" xfId="106" applyNumberFormat="1" applyFont="1" applyFill="1" applyBorder="1" applyAlignment="1" applyProtection="1">
      <alignment horizontal="center" vertical="center"/>
      <protection/>
    </xf>
    <xf numFmtId="10" fontId="1" fillId="24" borderId="10" xfId="94" applyNumberFormat="1" applyFont="1" applyFill="1" applyBorder="1" applyAlignment="1" applyProtection="1">
      <alignment horizontal="center" vertical="center"/>
      <protection/>
    </xf>
    <xf numFmtId="0" fontId="26"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165" fontId="0" fillId="0" borderId="0" xfId="106" applyFont="1" applyAlignment="1">
      <alignment/>
    </xf>
    <xf numFmtId="0" fontId="29" fillId="0" borderId="0" xfId="0" applyFont="1" applyAlignment="1">
      <alignment vertical="center"/>
    </xf>
    <xf numFmtId="0" fontId="0"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0" fillId="0" borderId="0" xfId="0" applyFont="1" applyBorder="1" applyAlignment="1">
      <alignment/>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1" fillId="0" borderId="11" xfId="90" applyFont="1" applyBorder="1" applyAlignment="1" applyProtection="1">
      <alignment horizontal="left" vertical="top"/>
      <protection/>
    </xf>
    <xf numFmtId="0" fontId="1" fillId="0" borderId="0" xfId="90" applyFont="1" applyBorder="1" applyAlignment="1" applyProtection="1">
      <alignment horizontal="left" vertical="top"/>
      <protection/>
    </xf>
    <xf numFmtId="0" fontId="1" fillId="0" borderId="12" xfId="90" applyFont="1" applyBorder="1" applyAlignment="1" applyProtection="1">
      <alignment horizontal="left" vertical="top"/>
      <protection/>
    </xf>
    <xf numFmtId="10" fontId="0" fillId="0" borderId="0" xfId="94" applyNumberFormat="1" applyFont="1" applyBorder="1" applyAlignment="1" applyProtection="1">
      <alignment horizontal="left"/>
      <protection/>
    </xf>
    <xf numFmtId="0" fontId="0" fillId="0" borderId="0" xfId="0" applyAlignment="1" applyProtection="1">
      <alignment horizontal="left" indent="2"/>
      <protection/>
    </xf>
    <xf numFmtId="14" fontId="30" fillId="0" borderId="0" xfId="0" applyNumberFormat="1" applyFont="1" applyFill="1" applyBorder="1" applyAlignment="1" applyProtection="1">
      <alignment vertical="top" wrapText="1"/>
      <protection/>
    </xf>
    <xf numFmtId="0" fontId="31" fillId="0" borderId="0" xfId="0" applyFont="1" applyFill="1" applyAlignment="1" applyProtection="1">
      <alignment horizontal="center"/>
      <protection/>
    </xf>
    <xf numFmtId="0" fontId="31" fillId="0" borderId="0" xfId="0" applyFont="1" applyFill="1" applyAlignment="1" applyProtection="1">
      <alignment/>
      <protection/>
    </xf>
    <xf numFmtId="0" fontId="25" fillId="0" borderId="0" xfId="0" applyFont="1" applyAlignment="1">
      <alignment horizontal="left"/>
    </xf>
    <xf numFmtId="168" fontId="0" fillId="0" borderId="0" xfId="106" applyNumberFormat="1" applyFont="1" applyFill="1" applyBorder="1" applyAlignment="1" applyProtection="1">
      <alignment/>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1" fillId="0" borderId="0" xfId="0" applyFont="1" applyFill="1" applyBorder="1" applyAlignment="1" applyProtection="1">
      <alignment wrapText="1"/>
      <protection hidden="1"/>
    </xf>
    <xf numFmtId="0" fontId="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4"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0" fillId="0" borderId="0" xfId="89" applyFont="1" applyProtection="1">
      <alignment/>
      <protection/>
    </xf>
    <xf numFmtId="0" fontId="1" fillId="0" borderId="0" xfId="89" applyFont="1" applyAlignment="1" applyProtection="1">
      <alignment horizontal="center"/>
      <protection/>
    </xf>
    <xf numFmtId="0" fontId="1" fillId="0" borderId="14" xfId="89" applyFont="1" applyBorder="1" applyAlignment="1" applyProtection="1">
      <alignment horizontal="center"/>
      <protection/>
    </xf>
    <xf numFmtId="10" fontId="33" fillId="0" borderId="14" xfId="89" applyNumberFormat="1" applyFont="1" applyFill="1" applyBorder="1" applyAlignment="1" applyProtection="1">
      <alignment horizontal="center"/>
      <protection/>
    </xf>
    <xf numFmtId="0" fontId="25" fillId="0" borderId="0" xfId="89" applyFont="1" applyAlignment="1" applyProtection="1">
      <alignment horizontal="center"/>
      <protection/>
    </xf>
    <xf numFmtId="0" fontId="34" fillId="0" borderId="0" xfId="89" applyFont="1" applyAlignment="1" applyProtection="1">
      <alignment/>
      <protection/>
    </xf>
    <xf numFmtId="0" fontId="1" fillId="0" borderId="0" xfId="89" applyFont="1" applyProtection="1">
      <alignment/>
      <protection/>
    </xf>
    <xf numFmtId="0" fontId="1" fillId="0" borderId="14" xfId="89" applyFont="1" applyFill="1" applyBorder="1" applyAlignment="1" applyProtection="1">
      <alignment horizontal="center" vertical="center" wrapText="1"/>
      <protection/>
    </xf>
    <xf numFmtId="0" fontId="32" fillId="0" borderId="14" xfId="89" applyFont="1" applyBorder="1" applyAlignment="1" applyProtection="1">
      <alignment horizontal="center" vertical="center"/>
      <protection/>
    </xf>
    <xf numFmtId="10" fontId="32" fillId="22" borderId="14" xfId="89" applyNumberFormat="1" applyFont="1" applyFill="1" applyBorder="1" applyAlignment="1" applyProtection="1">
      <alignment horizontal="center" vertical="center"/>
      <protection locked="0"/>
    </xf>
    <xf numFmtId="4" fontId="28" fillId="0" borderId="14" xfId="89" applyNumberFormat="1" applyFont="1" applyFill="1" applyBorder="1" applyAlignment="1" applyProtection="1">
      <alignment horizontal="center" vertical="center"/>
      <protection/>
    </xf>
    <xf numFmtId="10" fontId="32" fillId="0" borderId="14" xfId="89" applyNumberFormat="1" applyFont="1" applyFill="1" applyBorder="1" applyAlignment="1" applyProtection="1">
      <alignment horizontal="center" vertical="center"/>
      <protection/>
    </xf>
    <xf numFmtId="10" fontId="32" fillId="0" borderId="14" xfId="89" applyNumberFormat="1" applyFont="1" applyFill="1" applyBorder="1" applyAlignment="1" applyProtection="1">
      <alignment horizontal="center" vertical="center" wrapText="1"/>
      <protection/>
    </xf>
    <xf numFmtId="0" fontId="32" fillId="0" borderId="14" xfId="89" applyFont="1" applyFill="1" applyBorder="1" applyAlignment="1" applyProtection="1">
      <alignment horizontal="center" vertical="center" wrapText="1"/>
      <protection/>
    </xf>
    <xf numFmtId="0" fontId="40" fillId="0" borderId="0" xfId="89" applyFont="1" applyFill="1" applyBorder="1" applyAlignment="1" applyProtection="1">
      <alignment horizontal="center" vertical="center" wrapText="1"/>
      <protection/>
    </xf>
    <xf numFmtId="10" fontId="40" fillId="0" borderId="0" xfId="89" applyNumberFormat="1" applyFont="1" applyFill="1" applyBorder="1" applyAlignment="1" applyProtection="1">
      <alignment horizontal="center" vertical="center"/>
      <protection/>
    </xf>
    <xf numFmtId="194" fontId="0" fillId="0" borderId="0" xfId="89" applyNumberFormat="1" applyFont="1" applyAlignment="1" applyProtection="1">
      <alignment/>
      <protection/>
    </xf>
    <xf numFmtId="0" fontId="32" fillId="0" borderId="0" xfId="89" applyFont="1" applyBorder="1" applyProtection="1">
      <alignment/>
      <protection/>
    </xf>
    <xf numFmtId="0" fontId="0" fillId="0" borderId="0" xfId="89" applyFont="1" applyBorder="1" applyProtection="1">
      <alignment/>
      <protection/>
    </xf>
    <xf numFmtId="0" fontId="32" fillId="0" borderId="0" xfId="89" applyFont="1" applyProtection="1">
      <alignment/>
      <protection/>
    </xf>
    <xf numFmtId="0" fontId="32" fillId="0" borderId="0" xfId="89" applyFont="1" applyAlignment="1" applyProtection="1">
      <alignment vertical="top"/>
      <protection/>
    </xf>
    <xf numFmtId="0" fontId="36" fillId="0" borderId="0" xfId="89" applyFont="1" applyBorder="1" applyAlignment="1" applyProtection="1">
      <alignment horizontal="center" vertical="top"/>
      <protection/>
    </xf>
    <xf numFmtId="0" fontId="1" fillId="0" borderId="14" xfId="0" applyFont="1" applyBorder="1" applyAlignment="1" applyProtection="1">
      <alignment horizontal="center" vertical="center" wrapText="1"/>
      <protection/>
    </xf>
    <xf numFmtId="0" fontId="1" fillId="0" borderId="14" xfId="0" applyFont="1" applyBorder="1" applyAlignment="1" applyProtection="1">
      <alignment horizontal="center" vertical="center"/>
      <protection/>
    </xf>
    <xf numFmtId="0" fontId="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0" xfId="0" applyFont="1" applyFill="1" applyAlignment="1">
      <alignment/>
    </xf>
    <xf numFmtId="0" fontId="38" fillId="0" borderId="0" xfId="0" applyFont="1" applyFill="1" applyAlignment="1">
      <alignment vertical="center"/>
    </xf>
    <xf numFmtId="0" fontId="0" fillId="0" borderId="0" xfId="0" applyFont="1" applyFill="1" applyAlignment="1">
      <alignment horizontal="center" vertical="top"/>
    </xf>
    <xf numFmtId="0" fontId="0" fillId="0" borderId="0" xfId="0" applyFont="1" applyAlignment="1" applyProtection="1">
      <alignment/>
      <protection/>
    </xf>
    <xf numFmtId="0" fontId="0" fillId="0" borderId="17" xfId="0" applyFont="1" applyBorder="1" applyAlignment="1">
      <alignment/>
    </xf>
    <xf numFmtId="0" fontId="32" fillId="0" borderId="0" xfId="0" applyFont="1" applyAlignment="1">
      <alignment/>
    </xf>
    <xf numFmtId="0" fontId="25" fillId="0" borderId="0" xfId="0" applyFont="1" applyAlignment="1">
      <alignment horizontal="right"/>
    </xf>
    <xf numFmtId="0" fontId="1" fillId="22" borderId="0" xfId="0" applyFont="1" applyFill="1" applyAlignment="1" applyProtection="1">
      <alignment/>
      <protection locked="0"/>
    </xf>
    <xf numFmtId="0" fontId="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applyAlignment="1">
      <alignment/>
    </xf>
    <xf numFmtId="0" fontId="32"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1" fillId="0" borderId="11" xfId="90" applyFont="1" applyBorder="1" applyAlignment="1" applyProtection="1">
      <alignment vertical="top"/>
      <protection/>
    </xf>
    <xf numFmtId="0" fontId="1" fillId="0" borderId="15" xfId="90" applyFont="1" applyBorder="1" applyAlignment="1" applyProtection="1">
      <alignment horizontal="center" vertical="top"/>
      <protection/>
    </xf>
    <xf numFmtId="0" fontId="0" fillId="0" borderId="0" xfId="0" applyFont="1" applyAlignment="1" applyProtection="1">
      <alignment/>
      <protection/>
    </xf>
    <xf numFmtId="10" fontId="0" fillId="22" borderId="16" xfId="94" applyNumberFormat="1" applyFont="1" applyFill="1" applyBorder="1" applyAlignment="1" applyProtection="1">
      <alignment horizontal="center" vertical="top" wrapText="1"/>
      <protection/>
    </xf>
    <xf numFmtId="10" fontId="0" fillId="0" borderId="16" xfId="94" applyNumberFormat="1" applyFont="1" applyFill="1" applyBorder="1" applyAlignment="1" applyProtection="1">
      <alignment horizontal="center" vertical="top" wrapText="1"/>
      <protection/>
    </xf>
    <xf numFmtId="165" fontId="1" fillId="24" borderId="19" xfId="106" applyNumberFormat="1" applyFont="1" applyFill="1" applyBorder="1" applyAlignment="1" applyProtection="1">
      <alignment horizontal="center" vertical="center" shrinkToFit="1"/>
      <protection/>
    </xf>
    <xf numFmtId="165" fontId="0" fillId="0" borderId="20" xfId="106" applyNumberFormat="1" applyFont="1" applyFill="1" applyBorder="1" applyAlignment="1">
      <alignment horizontal="center" vertical="center" shrinkToFit="1"/>
    </xf>
    <xf numFmtId="0" fontId="25" fillId="0" borderId="0" xfId="0" applyFont="1" applyAlignment="1">
      <alignment horizontal="left" vertical="center"/>
    </xf>
    <xf numFmtId="0" fontId="0" fillId="0" borderId="0" xfId="89" applyFont="1" applyBorder="1" applyAlignment="1" applyProtection="1">
      <alignment horizontal="center" vertical="top"/>
      <protection/>
    </xf>
    <xf numFmtId="0" fontId="39" fillId="0" borderId="0" xfId="90" applyFont="1" applyBorder="1" applyAlignment="1" applyProtection="1">
      <alignment horizontal="left" vertical="top"/>
      <protection/>
    </xf>
    <xf numFmtId="0" fontId="37"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4"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8" fillId="0" borderId="14" xfId="89" applyNumberFormat="1" applyFont="1" applyFill="1" applyBorder="1" applyAlignment="1" applyProtection="1">
      <alignment horizontal="center" vertical="center" wrapText="1"/>
      <protection/>
    </xf>
    <xf numFmtId="0" fontId="46" fillId="0" borderId="0" xfId="89" applyFont="1" applyAlignment="1" applyProtection="1">
      <alignment wrapText="1"/>
      <protection/>
    </xf>
    <xf numFmtId="0" fontId="47" fillId="0" borderId="0" xfId="89" applyFont="1" applyAlignment="1" applyProtection="1">
      <alignment vertical="top" wrapText="1"/>
      <protection/>
    </xf>
    <xf numFmtId="0" fontId="44" fillId="0" borderId="14" xfId="89" applyFont="1" applyBorder="1" applyAlignment="1" applyProtection="1">
      <alignment horizontal="center" vertical="center"/>
      <protection/>
    </xf>
    <xf numFmtId="4" fontId="28" fillId="0" borderId="0" xfId="89" applyNumberFormat="1" applyFont="1" applyFill="1" applyBorder="1" applyAlignment="1" applyProtection="1">
      <alignment horizontal="center" vertical="center" wrapText="1"/>
      <protection/>
    </xf>
    <xf numFmtId="0" fontId="0" fillId="0" borderId="0" xfId="89" applyFont="1" applyProtection="1">
      <alignment/>
      <protection locked="0"/>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center"/>
      <protection/>
    </xf>
    <xf numFmtId="0" fontId="1" fillId="0" borderId="22"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0" xfId="0" applyFont="1" applyFill="1" applyBorder="1" applyAlignment="1">
      <alignment/>
    </xf>
    <xf numFmtId="0" fontId="26" fillId="0" borderId="16" xfId="0" applyFont="1" applyBorder="1" applyAlignment="1">
      <alignment horizontal="center"/>
    </xf>
    <xf numFmtId="0" fontId="4" fillId="22" borderId="23" xfId="0" applyNumberFormat="1" applyFont="1" applyFill="1" applyBorder="1" applyAlignment="1" applyProtection="1">
      <alignment vertical="center" wrapText="1"/>
      <protection locked="0"/>
    </xf>
    <xf numFmtId="165"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1" fillId="0" borderId="15" xfId="0" applyFont="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0" fontId="29" fillId="0" borderId="26" xfId="0" applyFont="1" applyBorder="1" applyAlignment="1">
      <alignment horizontal="center" vertical="center"/>
    </xf>
    <xf numFmtId="0" fontId="4"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1" fillId="24" borderId="10" xfId="106" applyNumberFormat="1" applyFont="1" applyFill="1" applyBorder="1" applyAlignment="1" applyProtection="1">
      <alignment horizontal="center" vertical="center"/>
      <protection/>
    </xf>
    <xf numFmtId="0" fontId="1" fillId="0" borderId="11" xfId="90" applyFont="1" applyFill="1" applyBorder="1" applyAlignment="1" applyProtection="1">
      <alignment horizontal="left" vertical="top"/>
      <protection/>
    </xf>
    <xf numFmtId="0" fontId="1" fillId="0" borderId="11" xfId="90" applyFont="1" applyFill="1" applyBorder="1" applyAlignment="1" applyProtection="1">
      <alignment vertical="top"/>
      <protection/>
    </xf>
    <xf numFmtId="0" fontId="1" fillId="0" borderId="15" xfId="90"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4" applyNumberFormat="1" applyFont="1" applyFill="1" applyBorder="1" applyAlignment="1" applyProtection="1">
      <alignment horizontal="center" vertical="top" wrapText="1"/>
      <protection/>
    </xf>
    <xf numFmtId="10" fontId="0" fillId="0" borderId="18" xfId="94" applyNumberFormat="1" applyFont="1" applyFill="1" applyBorder="1" applyAlignment="1" applyProtection="1">
      <alignment horizontal="left" vertical="top" wrapText="1"/>
      <protection/>
    </xf>
    <xf numFmtId="0" fontId="1" fillId="0" borderId="17" xfId="0" applyFont="1" applyBorder="1" applyAlignment="1">
      <alignment/>
    </xf>
    <xf numFmtId="0" fontId="1" fillId="0" borderId="17" xfId="0" applyFont="1" applyBorder="1" applyAlignment="1">
      <alignment horizontal="left"/>
    </xf>
    <xf numFmtId="0" fontId="0" fillId="0" borderId="17" xfId="0" applyFont="1" applyBorder="1" applyAlignment="1">
      <alignment horizontal="left"/>
    </xf>
    <xf numFmtId="0" fontId="1" fillId="0" borderId="17" xfId="89" applyFont="1" applyBorder="1" applyAlignment="1" applyProtection="1">
      <alignment horizontal="left"/>
      <protection/>
    </xf>
    <xf numFmtId="0" fontId="0" fillId="0" borderId="17" xfId="89" applyFont="1" applyBorder="1" applyProtection="1">
      <alignment/>
      <protection/>
    </xf>
    <xf numFmtId="0" fontId="29" fillId="0" borderId="0" xfId="0" applyFont="1" applyAlignment="1">
      <alignment horizontal="center" vertical="center"/>
    </xf>
    <xf numFmtId="0" fontId="39" fillId="0" borderId="29" xfId="0" applyFont="1" applyBorder="1" applyAlignment="1" applyProtection="1">
      <alignment horizontal="center" vertical="center" wrapText="1"/>
      <protection/>
    </xf>
    <xf numFmtId="0" fontId="31" fillId="0" borderId="0" xfId="0" applyFont="1" applyAlignment="1" applyProtection="1">
      <alignment horizontal="center" vertical="center" wrapText="1"/>
      <protection/>
    </xf>
    <xf numFmtId="0" fontId="31" fillId="0" borderId="0" xfId="0" applyFont="1" applyAlignment="1" applyProtection="1">
      <alignment horizontal="center"/>
      <protection/>
    </xf>
    <xf numFmtId="4" fontId="28" fillId="25" borderId="13" xfId="106" applyNumberFormat="1" applyFont="1" applyFill="1" applyBorder="1" applyAlignment="1" applyProtection="1">
      <alignment horizontal="center" vertical="center" shrinkToFit="1"/>
      <protection/>
    </xf>
    <xf numFmtId="10" fontId="28" fillId="21" borderId="0" xfId="94" applyNumberFormat="1" applyFont="1" applyFill="1" applyBorder="1" applyAlignment="1" applyProtection="1">
      <alignment horizontal="center" vertical="center" shrinkToFit="1"/>
      <protection/>
    </xf>
    <xf numFmtId="4" fontId="28" fillId="21" borderId="13" xfId="106" applyNumberFormat="1" applyFont="1" applyFill="1" applyBorder="1" applyAlignment="1" applyProtection="1">
      <alignment horizontal="center" vertical="center" shrinkToFit="1"/>
      <protection/>
    </xf>
    <xf numFmtId="0" fontId="39" fillId="0" borderId="30" xfId="0" applyFont="1" applyBorder="1" applyAlignment="1" applyProtection="1">
      <alignment horizontal="center" vertical="center" wrapText="1"/>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protection/>
    </xf>
    <xf numFmtId="0" fontId="1" fillId="25" borderId="18" xfId="0" applyFont="1" applyFill="1" applyBorder="1" applyAlignment="1" applyProtection="1">
      <alignment horizontal="center" vertical="center"/>
      <protection/>
    </xf>
    <xf numFmtId="0" fontId="1" fillId="21" borderId="11" xfId="0" applyFont="1" applyFill="1" applyBorder="1" applyAlignment="1" applyProtection="1">
      <alignment horizontal="center" vertical="center"/>
      <protection/>
    </xf>
    <xf numFmtId="0" fontId="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9" fillId="0" borderId="0" xfId="0" applyFont="1" applyAlignment="1" applyProtection="1">
      <alignment horizontal="center" wrapText="1"/>
      <protection/>
    </xf>
    <xf numFmtId="0" fontId="48" fillId="0" borderId="0" xfId="0" applyFont="1" applyFill="1" applyAlignment="1" applyProtection="1">
      <alignment/>
      <protection/>
    </xf>
    <xf numFmtId="0" fontId="0" fillId="0" borderId="31" xfId="0" applyNumberFormat="1" applyFont="1" applyFill="1" applyBorder="1" applyAlignment="1">
      <alignment vertical="center" wrapText="1" shrinkToFit="1"/>
    </xf>
    <xf numFmtId="0" fontId="41" fillId="24" borderId="32" xfId="0" applyNumberFormat="1" applyFont="1" applyFill="1" applyBorder="1" applyAlignment="1" applyProtection="1">
      <alignment horizontal="center" vertical="center" wrapText="1"/>
      <protection/>
    </xf>
    <xf numFmtId="0" fontId="4" fillId="21" borderId="23" xfId="0" applyNumberFormat="1" applyFont="1" applyFill="1" applyBorder="1" applyAlignment="1" applyProtection="1">
      <alignment vertical="center" wrapText="1"/>
      <protection/>
    </xf>
    <xf numFmtId="165"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1" fillId="25" borderId="11" xfId="0" applyFont="1" applyFill="1" applyBorder="1" applyAlignment="1" applyProtection="1">
      <alignment horizontal="center" vertical="center"/>
      <protection/>
    </xf>
    <xf numFmtId="10" fontId="32" fillId="0" borderId="0" xfId="94" applyNumberFormat="1" applyFont="1" applyFill="1" applyBorder="1" applyAlignment="1" applyProtection="1">
      <alignment horizontal="center" vertical="center"/>
      <protection/>
    </xf>
    <xf numFmtId="4" fontId="32" fillId="0" borderId="0" xfId="94"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27" fillId="0" borderId="0" xfId="0" applyFont="1" applyFill="1" applyAlignment="1" applyProtection="1">
      <alignment vertical="center"/>
      <protection/>
    </xf>
    <xf numFmtId="0" fontId="25" fillId="0" borderId="0" xfId="0" applyFont="1" applyAlignment="1" applyProtection="1">
      <alignment horizontal="right" vertical="center"/>
      <protection/>
    </xf>
    <xf numFmtId="0" fontId="25"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7"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24" fillId="0" borderId="0" xfId="0" applyFont="1" applyAlignment="1" applyProtection="1">
      <alignment wrapText="1"/>
      <protection/>
    </xf>
    <xf numFmtId="0" fontId="0" fillId="0" borderId="0" xfId="0" applyNumberFormat="1" applyAlignment="1" applyProtection="1">
      <alignment/>
      <protection/>
    </xf>
    <xf numFmtId="0" fontId="1" fillId="0" borderId="0" xfId="0" applyFont="1" applyFill="1" applyBorder="1" applyAlignment="1" applyProtection="1">
      <alignment horizontal="center" wrapText="1"/>
      <protection/>
    </xf>
    <xf numFmtId="0" fontId="28" fillId="0" borderId="15"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vertical="top"/>
      <protection/>
    </xf>
    <xf numFmtId="0" fontId="1" fillId="0" borderId="0" xfId="0" applyFont="1" applyBorder="1" applyAlignment="1" applyProtection="1">
      <alignment vertical="center"/>
      <protection/>
    </xf>
    <xf numFmtId="4" fontId="4" fillId="0" borderId="0" xfId="0" applyNumberFormat="1" applyFont="1" applyAlignment="1" applyProtection="1">
      <alignment/>
      <protection/>
    </xf>
    <xf numFmtId="0" fontId="1" fillId="0" borderId="17" xfId="0"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Border="1" applyAlignment="1" applyProtection="1">
      <alignment horizontal="center"/>
      <protection/>
    </xf>
    <xf numFmtId="0" fontId="1" fillId="0" borderId="11" xfId="0" applyFont="1" applyFill="1" applyBorder="1" applyAlignment="1" applyProtection="1">
      <alignment wrapText="1"/>
      <protection/>
    </xf>
    <xf numFmtId="0" fontId="0" fillId="0" borderId="11" xfId="0" applyBorder="1" applyAlignment="1" applyProtection="1">
      <alignment/>
      <protection/>
    </xf>
    <xf numFmtId="0" fontId="0" fillId="0" borderId="11" xfId="0" applyBorder="1" applyAlignment="1" applyProtection="1" quotePrefix="1">
      <alignment/>
      <protection/>
    </xf>
    <xf numFmtId="10" fontId="32" fillId="0" borderId="11" xfId="94" applyNumberFormat="1" applyFont="1" applyFill="1" applyBorder="1" applyAlignment="1" applyProtection="1">
      <alignment horizontal="center" vertical="center"/>
      <protection/>
    </xf>
    <xf numFmtId="4" fontId="32" fillId="0" borderId="11" xfId="94" applyNumberFormat="1" applyFont="1" applyFill="1" applyBorder="1" applyAlignment="1" applyProtection="1">
      <alignment horizontal="center" vertical="center"/>
      <protection/>
    </xf>
    <xf numFmtId="4" fontId="28" fillId="25" borderId="18" xfId="106" applyNumberFormat="1" applyFont="1" applyFill="1" applyBorder="1" applyAlignment="1" applyProtection="1">
      <alignment horizontal="center" vertical="center" shrinkToFit="1"/>
      <protection/>
    </xf>
    <xf numFmtId="10" fontId="28" fillId="21" borderId="11" xfId="94" applyNumberFormat="1" applyFont="1" applyFill="1" applyBorder="1" applyAlignment="1" applyProtection="1">
      <alignment horizontal="center" vertical="center" shrinkToFit="1"/>
      <protection/>
    </xf>
    <xf numFmtId="4" fontId="28"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8" fillId="25" borderId="11" xfId="94" applyNumberFormat="1" applyFont="1" applyFill="1" applyBorder="1" applyAlignment="1" applyProtection="1">
      <alignment horizontal="center" vertical="center" shrinkToFit="1"/>
      <protection/>
    </xf>
    <xf numFmtId="10" fontId="28" fillId="25" borderId="0" xfId="94" applyNumberFormat="1" applyFont="1" applyFill="1" applyBorder="1" applyAlignment="1" applyProtection="1">
      <alignment horizontal="center" vertical="center" shrinkToFit="1"/>
      <protection/>
    </xf>
    <xf numFmtId="4" fontId="32" fillId="0" borderId="12" xfId="94" applyNumberFormat="1" applyFont="1" applyFill="1" applyBorder="1" applyAlignment="1" applyProtection="1">
      <alignment horizontal="center" vertical="center"/>
      <protection/>
    </xf>
    <xf numFmtId="10" fontId="0" fillId="0" borderId="14" xfId="0" applyNumberFormat="1" applyBorder="1" applyAlignment="1" applyProtection="1">
      <alignment/>
      <protection/>
    </xf>
    <xf numFmtId="49" fontId="0" fillId="22" borderId="24"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xf>
    <xf numFmtId="0" fontId="0" fillId="0" borderId="14" xfId="0" applyFont="1" applyBorder="1" applyAlignment="1">
      <alignment/>
    </xf>
    <xf numFmtId="0" fontId="0" fillId="0" borderId="0" xfId="0" applyAlignment="1" quotePrefix="1">
      <alignment/>
    </xf>
    <xf numFmtId="0" fontId="32" fillId="0" borderId="0" xfId="0" applyFont="1" applyFill="1" applyBorder="1" applyAlignment="1" applyProtection="1">
      <alignment horizontal="left" wrapText="1"/>
      <protection locked="0"/>
    </xf>
    <xf numFmtId="0" fontId="0" fillId="0" borderId="14" xfId="0" applyFont="1" applyBorder="1" applyAlignment="1" applyProtection="1">
      <alignment/>
      <protection locked="0"/>
    </xf>
    <xf numFmtId="165" fontId="0" fillId="22" borderId="34" xfId="106" applyFont="1" applyFill="1" applyBorder="1" applyAlignment="1" applyProtection="1">
      <alignment vertical="center" shrinkToFit="1"/>
      <protection locked="0"/>
    </xf>
    <xf numFmtId="0" fontId="1" fillId="24" borderId="32" xfId="0" applyNumberFormat="1" applyFont="1" applyFill="1" applyBorder="1" applyAlignment="1" applyProtection="1">
      <alignment horizontal="center" vertical="center" shrinkToFit="1"/>
      <protection/>
    </xf>
    <xf numFmtId="0" fontId="1" fillId="24" borderId="25" xfId="0" applyNumberFormat="1"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wrapText="1" shrinkToFit="1"/>
      <protection/>
    </xf>
    <xf numFmtId="14" fontId="28"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32" fillId="22" borderId="35" xfId="94" applyNumberFormat="1" applyFont="1" applyFill="1" applyBorder="1" applyAlignment="1" applyProtection="1">
      <alignment horizontal="center" vertical="center"/>
      <protection hidden="1" locked="0"/>
    </xf>
    <xf numFmtId="0" fontId="28"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wrapText="1"/>
      <protection/>
    </xf>
    <xf numFmtId="0" fontId="0" fillId="20" borderId="0" xfId="0" applyFont="1" applyFill="1" applyAlignment="1">
      <alignment/>
    </xf>
    <xf numFmtId="10" fontId="32" fillId="22" borderId="36" xfId="94" applyNumberFormat="1" applyFont="1" applyFill="1" applyBorder="1" applyAlignment="1" applyProtection="1">
      <alignment horizontal="center" vertical="center"/>
      <protection locked="0"/>
    </xf>
    <xf numFmtId="10" fontId="32" fillId="22" borderId="35" xfId="94" applyNumberFormat="1" applyFont="1" applyFill="1" applyBorder="1" applyAlignment="1" applyProtection="1">
      <alignment horizontal="center" vertical="center"/>
      <protection locked="0"/>
    </xf>
    <xf numFmtId="10" fontId="32" fillId="22" borderId="37" xfId="94" applyNumberFormat="1" applyFont="1" applyFill="1" applyBorder="1" applyAlignment="1" applyProtection="1">
      <alignment horizontal="center" vertical="center"/>
      <protection locked="0"/>
    </xf>
    <xf numFmtId="165" fontId="0" fillId="22" borderId="24" xfId="106" applyFont="1" applyFill="1" applyBorder="1" applyAlignment="1" applyProtection="1">
      <alignment vertical="center" wrapText="1"/>
      <protection locked="0"/>
    </xf>
    <xf numFmtId="0" fontId="0" fillId="22" borderId="24" xfId="0" applyNumberFormat="1" applyFont="1" applyFill="1" applyBorder="1" applyAlignment="1" applyProtection="1">
      <alignment horizontal="center" vertical="center" wrapText="1"/>
      <protection locked="0"/>
    </xf>
    <xf numFmtId="0" fontId="0" fillId="22" borderId="24" xfId="0" applyNumberFormat="1" applyFont="1" applyFill="1" applyBorder="1" applyAlignment="1" applyProtection="1">
      <alignment vertical="center" wrapText="1"/>
      <protection locked="0"/>
    </xf>
    <xf numFmtId="10" fontId="0" fillId="22" borderId="24" xfId="94" applyNumberFormat="1" applyFont="1" applyFill="1" applyBorder="1" applyAlignment="1" applyProtection="1">
      <alignment horizontal="center" vertical="center" wrapText="1"/>
      <protection locked="0"/>
    </xf>
    <xf numFmtId="165" fontId="0" fillId="22" borderId="24" xfId="106" applyNumberFormat="1" applyFont="1" applyFill="1" applyBorder="1" applyAlignment="1" applyProtection="1">
      <alignment vertical="center" shrinkToFit="1"/>
      <protection locked="0"/>
    </xf>
    <xf numFmtId="0" fontId="1" fillId="0" borderId="11" xfId="90" applyFont="1" applyBorder="1" applyAlignment="1" applyProtection="1">
      <alignment horizontal="left" vertical="top"/>
      <protection/>
    </xf>
    <xf numFmtId="0" fontId="1" fillId="0" borderId="0" xfId="90" applyFont="1" applyBorder="1" applyAlignment="1" applyProtection="1">
      <alignment horizontal="left" vertical="top"/>
      <protection/>
    </xf>
    <xf numFmtId="0" fontId="1" fillId="0" borderId="12" xfId="90" applyFont="1" applyBorder="1" applyAlignment="1" applyProtection="1">
      <alignment horizontal="left" vertical="top"/>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22" borderId="18" xfId="0" applyFill="1" applyBorder="1" applyAlignment="1" applyProtection="1">
      <alignment horizontal="left" vertical="top" wrapText="1"/>
      <protection locked="0"/>
    </xf>
    <xf numFmtId="0" fontId="0" fillId="22" borderId="13"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49" fontId="0" fillId="22" borderId="18" xfId="0" applyNumberForma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1" fillId="0" borderId="11" xfId="90" applyFont="1" applyFill="1" applyBorder="1" applyAlignment="1" applyProtection="1">
      <alignment horizontal="left" vertical="top"/>
      <protection/>
    </xf>
    <xf numFmtId="0" fontId="1" fillId="0" borderId="0" xfId="90" applyFont="1" applyFill="1" applyBorder="1" applyAlignment="1" applyProtection="1">
      <alignment horizontal="left" vertical="top"/>
      <protection/>
    </xf>
    <xf numFmtId="0" fontId="1" fillId="0" borderId="12" xfId="90" applyFont="1" applyFill="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49" fontId="0" fillId="22" borderId="0" xfId="0" applyNumberFormat="1" applyFill="1" applyBorder="1" applyAlignment="1" applyProtection="1">
      <alignment horizontal="left"/>
      <protection locked="0"/>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0" fontId="0" fillId="0" borderId="18"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38" xfId="94" applyNumberFormat="1" applyFont="1" applyFill="1" applyBorder="1" applyAlignment="1" applyProtection="1">
      <alignment horizontal="left" vertical="top" wrapText="1"/>
      <protection/>
    </xf>
    <xf numFmtId="169" fontId="0" fillId="0" borderId="18" xfId="94" applyNumberFormat="1" applyFont="1" applyFill="1" applyBorder="1" applyAlignment="1" applyProtection="1">
      <alignment horizontal="left" vertical="top" wrapText="1"/>
      <protection/>
    </xf>
    <xf numFmtId="169" fontId="0" fillId="0" borderId="13" xfId="94" applyNumberFormat="1" applyFont="1" applyFill="1" applyBorder="1" applyAlignment="1" applyProtection="1">
      <alignment horizontal="left"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39" fillId="0" borderId="11" xfId="90" applyFont="1" applyFill="1" applyBorder="1" applyAlignment="1" applyProtection="1">
      <alignment horizontal="left" vertical="top"/>
      <protection/>
    </xf>
    <xf numFmtId="0" fontId="39" fillId="0" borderId="12" xfId="90" applyFont="1" applyFill="1" applyBorder="1" applyAlignment="1" applyProtection="1">
      <alignment horizontal="left" vertical="top"/>
      <protection/>
    </xf>
    <xf numFmtId="169" fontId="0" fillId="0" borderId="18" xfId="0" applyNumberFormat="1" applyFill="1" applyBorder="1" applyAlignment="1" applyProtection="1">
      <alignment horizontal="center" vertical="top" wrapText="1"/>
      <protection/>
    </xf>
    <xf numFmtId="169" fontId="0" fillId="0" borderId="38" xfId="0" applyNumberFormat="1" applyFill="1" applyBorder="1" applyAlignment="1" applyProtection="1">
      <alignment horizontal="center" vertical="top" wrapText="1"/>
      <protection/>
    </xf>
    <xf numFmtId="0" fontId="0" fillId="22" borderId="0" xfId="0" applyFill="1" applyBorder="1" applyAlignment="1" applyProtection="1">
      <alignment horizontal="left"/>
      <protection locked="0"/>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49" fillId="26" borderId="0" xfId="0" applyFont="1" applyFill="1" applyBorder="1" applyAlignment="1" applyProtection="1">
      <alignment horizontal="left" vertical="top" wrapText="1" indent="2"/>
      <protection/>
    </xf>
    <xf numFmtId="0" fontId="49" fillId="26" borderId="0" xfId="0" applyFont="1" applyFill="1" applyAlignment="1" applyProtection="1">
      <alignment horizontal="left" vertical="top" indent="2"/>
      <protection/>
    </xf>
    <xf numFmtId="14" fontId="0" fillId="22" borderId="18" xfId="94" applyNumberFormat="1" applyFont="1" applyFill="1" applyBorder="1" applyAlignment="1" applyProtection="1">
      <alignment horizontal="center" vertical="top" wrapText="1"/>
      <protection locked="0"/>
    </xf>
    <xf numFmtId="14" fontId="0" fillId="22" borderId="38" xfId="94" applyNumberFormat="1" applyFont="1" applyFill="1" applyBorder="1" applyAlignment="1" applyProtection="1">
      <alignment horizontal="center" vertical="top" wrapText="1"/>
      <protection locked="0"/>
    </xf>
    <xf numFmtId="10" fontId="0" fillId="22" borderId="18" xfId="94" applyNumberFormat="1" applyFont="1" applyFill="1" applyBorder="1" applyAlignment="1" applyProtection="1">
      <alignment horizontal="left" vertical="top" wrapText="1"/>
      <protection locked="0"/>
    </xf>
    <xf numFmtId="10" fontId="0" fillId="22" borderId="13" xfId="94" applyNumberFormat="1" applyFont="1" applyFill="1" applyBorder="1" applyAlignment="1" applyProtection="1">
      <alignment horizontal="left" vertical="top" wrapText="1"/>
      <protection locked="0"/>
    </xf>
    <xf numFmtId="10" fontId="0" fillId="22" borderId="38" xfId="94" applyNumberFormat="1" applyFont="1" applyFill="1" applyBorder="1" applyAlignment="1" applyProtection="1">
      <alignment horizontal="left" vertical="top" wrapText="1"/>
      <protection locked="0"/>
    </xf>
    <xf numFmtId="169" fontId="0" fillId="22" borderId="18" xfId="0" applyNumberFormat="1" applyFill="1" applyBorder="1" applyAlignment="1" applyProtection="1">
      <alignment horizontal="center" vertical="top" wrapText="1"/>
      <protection locked="0"/>
    </xf>
    <xf numFmtId="169" fontId="0" fillId="22" borderId="38" xfId="0" applyNumberFormat="1" applyFill="1" applyBorder="1" applyAlignment="1" applyProtection="1">
      <alignment horizontal="center" vertical="top" wrapText="1"/>
      <protection locked="0"/>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5" fillId="20" borderId="17" xfId="0" applyFont="1" applyFill="1" applyBorder="1" applyAlignment="1" applyProtection="1">
      <alignment horizontal="center" vertical="center" wrapText="1"/>
      <protection/>
    </xf>
    <xf numFmtId="0" fontId="25" fillId="20" borderId="39" xfId="0" applyFont="1" applyFill="1" applyBorder="1" applyAlignment="1" applyProtection="1">
      <alignment horizontal="center" vertical="center" wrapText="1"/>
      <protection/>
    </xf>
    <xf numFmtId="0" fontId="25" fillId="20" borderId="13" xfId="0" applyFont="1" applyFill="1" applyBorder="1" applyAlignment="1" applyProtection="1">
      <alignment horizontal="center" vertical="center" wrapText="1"/>
      <protection/>
    </xf>
    <xf numFmtId="0" fontId="25" fillId="20" borderId="38" xfId="0" applyFont="1" applyFill="1" applyBorder="1" applyAlignment="1" applyProtection="1">
      <alignment horizontal="center" vertical="center" wrapText="1"/>
      <protection/>
    </xf>
    <xf numFmtId="0" fontId="39" fillId="0" borderId="11" xfId="90" applyFont="1" applyBorder="1" applyAlignment="1" applyProtection="1">
      <alignment horizontal="left" vertical="top"/>
      <protection/>
    </xf>
    <xf numFmtId="0" fontId="39" fillId="0" borderId="12" xfId="90" applyFont="1" applyBorder="1" applyAlignment="1" applyProtection="1">
      <alignment horizontal="left" vertical="top"/>
      <protection/>
    </xf>
    <xf numFmtId="14" fontId="0" fillId="22" borderId="38" xfId="94" applyNumberFormat="1" applyFont="1" applyFill="1" applyBorder="1" applyAlignment="1" applyProtection="1">
      <alignment horizontal="center" vertical="top" wrapText="1"/>
      <protection locked="0"/>
    </xf>
    <xf numFmtId="49" fontId="0" fillId="22" borderId="18"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38" xfId="94" applyNumberFormat="1" applyFont="1" applyFill="1" applyBorder="1" applyAlignment="1" applyProtection="1">
      <alignment horizontal="left" vertical="top" wrapText="1"/>
      <protection locked="0"/>
    </xf>
    <xf numFmtId="0" fontId="1" fillId="0" borderId="40"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49" fontId="0" fillId="22" borderId="0" xfId="0" applyNumberFormat="1" applyFon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0" fontId="28" fillId="0" borderId="0" xfId="0" applyFont="1" applyFill="1" applyBorder="1" applyAlignment="1" applyProtection="1">
      <alignment horizontal="center" vertical="center"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4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49" fillId="26" borderId="0" xfId="0" applyFont="1" applyFill="1" applyBorder="1" applyAlignment="1" applyProtection="1">
      <alignment horizontal="left" vertical="top" wrapText="1" indent="2"/>
      <protection/>
    </xf>
    <xf numFmtId="0" fontId="49" fillId="26" borderId="0" xfId="0" applyFont="1" applyFill="1" applyAlignment="1" applyProtection="1">
      <alignment horizontal="left" vertical="top" indent="2"/>
      <protection/>
    </xf>
    <xf numFmtId="175" fontId="0" fillId="0" borderId="13" xfId="89" applyNumberFormat="1" applyFont="1" applyBorder="1" applyAlignment="1" applyProtection="1">
      <alignment horizontal="left"/>
      <protection/>
    </xf>
    <xf numFmtId="196" fontId="0" fillId="0" borderId="0" xfId="89" applyNumberFormat="1" applyFont="1" applyFill="1" applyBorder="1" applyAlignment="1" applyProtection="1">
      <alignment horizontal="left"/>
      <protection/>
    </xf>
    <xf numFmtId="49" fontId="0" fillId="22" borderId="32" xfId="89" applyNumberFormat="1" applyFont="1" applyFill="1" applyBorder="1" applyAlignment="1" applyProtection="1">
      <alignment horizontal="left" vertical="top" wrapText="1"/>
      <protection locked="0"/>
    </xf>
    <xf numFmtId="49" fontId="0" fillId="22" borderId="10" xfId="89" applyNumberFormat="1" applyFont="1" applyFill="1" applyBorder="1" applyAlignment="1" applyProtection="1">
      <alignment horizontal="left" vertical="top" wrapText="1"/>
      <protection locked="0"/>
    </xf>
    <xf numFmtId="49" fontId="0" fillId="22" borderId="19" xfId="89" applyNumberFormat="1" applyFont="1" applyFill="1" applyBorder="1" applyAlignment="1" applyProtection="1">
      <alignment horizontal="left" vertical="top" wrapText="1"/>
      <protection locked="0"/>
    </xf>
    <xf numFmtId="0" fontId="0" fillId="0" borderId="17" xfId="89" applyFont="1" applyBorder="1" applyAlignment="1" applyProtection="1">
      <alignment horizontal="center" vertical="center"/>
      <protection/>
    </xf>
    <xf numFmtId="49" fontId="0" fillId="0" borderId="0" xfId="89" applyNumberFormat="1" applyFont="1" applyFill="1" applyBorder="1" applyAlignment="1" applyProtection="1">
      <alignment horizontal="left"/>
      <protection locked="0"/>
    </xf>
    <xf numFmtId="0" fontId="28" fillId="0" borderId="0" xfId="89" applyFont="1" applyBorder="1" applyAlignment="1" applyProtection="1">
      <alignment horizontal="left" vertical="center"/>
      <protection/>
    </xf>
    <xf numFmtId="0" fontId="1" fillId="0" borderId="0" xfId="89" applyFont="1" applyBorder="1" applyAlignment="1" applyProtection="1">
      <alignment horizontal="left" vertical="center"/>
      <protection/>
    </xf>
    <xf numFmtId="0" fontId="42" fillId="0" borderId="0" xfId="0" applyFont="1" applyBorder="1" applyAlignment="1" applyProtection="1" quotePrefix="1">
      <alignment horizontal="left" vertical="center"/>
      <protection/>
    </xf>
    <xf numFmtId="0" fontId="42" fillId="0" borderId="0" xfId="0" applyFont="1" applyBorder="1" applyAlignment="1" applyProtection="1">
      <alignment horizontal="left" vertical="center"/>
      <protection/>
    </xf>
    <xf numFmtId="0" fontId="43" fillId="0" borderId="0" xfId="0" applyFont="1" applyBorder="1" applyAlignment="1" applyProtection="1">
      <alignment horizontal="center"/>
      <protection/>
    </xf>
    <xf numFmtId="0" fontId="42" fillId="0" borderId="0" xfId="0" applyFont="1" applyBorder="1" applyAlignment="1" applyProtection="1">
      <alignment horizontal="center" vertical="top"/>
      <protection/>
    </xf>
    <xf numFmtId="0" fontId="42" fillId="0" borderId="0" xfId="0" applyFont="1" applyBorder="1" applyAlignment="1" applyProtection="1">
      <alignment horizontal="right" vertical="center"/>
      <protection/>
    </xf>
    <xf numFmtId="10" fontId="4" fillId="22" borderId="14" xfId="89" applyNumberFormat="1" applyFont="1" applyFill="1" applyBorder="1" applyAlignment="1" applyProtection="1">
      <alignment horizontal="center"/>
      <protection locked="0"/>
    </xf>
    <xf numFmtId="0" fontId="4" fillId="0" borderId="14" xfId="89" applyFont="1" applyFill="1" applyBorder="1" applyAlignment="1" applyProtection="1">
      <alignment horizontal="left"/>
      <protection/>
    </xf>
    <xf numFmtId="0" fontId="28" fillId="0" borderId="14" xfId="89" applyFont="1" applyBorder="1" applyAlignment="1" applyProtection="1">
      <alignment horizontal="center" vertical="center"/>
      <protection/>
    </xf>
    <xf numFmtId="0" fontId="4" fillId="0" borderId="14" xfId="89" applyFont="1" applyFill="1" applyBorder="1" applyAlignment="1" applyProtection="1">
      <alignment horizontal="left" wrapText="1"/>
      <protection/>
    </xf>
    <xf numFmtId="0" fontId="28" fillId="0" borderId="14" xfId="89" applyFont="1" applyFill="1" applyBorder="1" applyAlignment="1" applyProtection="1">
      <alignment horizontal="center" vertical="center"/>
      <protection/>
    </xf>
    <xf numFmtId="4" fontId="28" fillId="0" borderId="14" xfId="89" applyNumberFormat="1" applyFont="1" applyFill="1" applyBorder="1" applyAlignment="1" applyProtection="1">
      <alignment horizontal="center" vertical="center" wrapText="1"/>
      <protection/>
    </xf>
    <xf numFmtId="193" fontId="4" fillId="22" borderId="18" xfId="86" applyFont="1" applyFill="1" applyBorder="1" applyAlignment="1" applyProtection="1">
      <alignment horizontal="left"/>
      <protection locked="0"/>
    </xf>
    <xf numFmtId="193" fontId="4" fillId="22" borderId="13" xfId="86" applyFont="1" applyFill="1" applyBorder="1" applyAlignment="1" applyProtection="1">
      <alignment horizontal="left"/>
      <protection locked="0"/>
    </xf>
    <xf numFmtId="193" fontId="4" fillId="22" borderId="38" xfId="86" applyFont="1" applyFill="1" applyBorder="1" applyAlignment="1" applyProtection="1">
      <alignment horizontal="left"/>
      <protection locked="0"/>
    </xf>
    <xf numFmtId="0" fontId="0" fillId="0" borderId="18" xfId="89" applyFont="1" applyFill="1" applyBorder="1" applyAlignment="1" applyProtection="1">
      <alignment horizontal="center" vertical="top" wrapText="1"/>
      <protection/>
    </xf>
    <xf numFmtId="0" fontId="0" fillId="0" borderId="38" xfId="89" applyFont="1" applyFill="1" applyBorder="1" applyAlignment="1" applyProtection="1">
      <alignment horizontal="center" vertical="top" wrapText="1"/>
      <protection/>
    </xf>
    <xf numFmtId="0" fontId="0" fillId="0" borderId="18" xfId="89" applyFont="1" applyFill="1" applyBorder="1" applyAlignment="1" applyProtection="1">
      <alignment horizontal="left" vertical="top" wrapText="1"/>
      <protection/>
    </xf>
    <xf numFmtId="0" fontId="0" fillId="0" borderId="38" xfId="89" applyFont="1" applyFill="1" applyBorder="1" applyAlignment="1" applyProtection="1">
      <alignment horizontal="left" vertical="top" wrapText="1"/>
      <protection/>
    </xf>
    <xf numFmtId="49" fontId="0" fillId="0" borderId="18" xfId="89" applyNumberFormat="1" applyFont="1" applyFill="1" applyBorder="1" applyAlignment="1" applyProtection="1">
      <alignment horizontal="left" vertical="top" wrapText="1"/>
      <protection/>
    </xf>
    <xf numFmtId="0" fontId="0" fillId="0" borderId="13" xfId="89" applyNumberFormat="1" applyFont="1" applyFill="1" applyBorder="1" applyAlignment="1" applyProtection="1">
      <alignment horizontal="left" vertical="top" wrapText="1"/>
      <protection/>
    </xf>
    <xf numFmtId="0" fontId="0" fillId="0" borderId="38" xfId="89" applyNumberFormat="1" applyFont="1" applyFill="1" applyBorder="1" applyAlignment="1" applyProtection="1">
      <alignment horizontal="left" vertical="top" wrapText="1"/>
      <protection/>
    </xf>
    <xf numFmtId="0" fontId="4" fillId="0" borderId="16" xfId="86" applyNumberFormat="1" applyFont="1" applyFill="1" applyBorder="1" applyAlignment="1" applyProtection="1">
      <alignment horizontal="left" wrapText="1"/>
      <protection/>
    </xf>
    <xf numFmtId="0" fontId="47" fillId="0" borderId="0" xfId="89" applyFont="1" applyAlignment="1" applyProtection="1">
      <alignment horizontal="center" vertical="top" wrapText="1"/>
      <protection/>
    </xf>
    <xf numFmtId="196" fontId="0" fillId="0" borderId="13" xfId="89" applyNumberFormat="1" applyFont="1" applyFill="1" applyBorder="1" applyAlignment="1" applyProtection="1">
      <alignment horizontal="left"/>
      <protection/>
    </xf>
    <xf numFmtId="0" fontId="0" fillId="0" borderId="14" xfId="89" applyFont="1" applyBorder="1" applyAlignment="1" applyProtection="1">
      <alignment horizontal="left" vertical="center" wrapText="1"/>
      <protection/>
    </xf>
    <xf numFmtId="0" fontId="0" fillId="0" borderId="14" xfId="89" applyFont="1" applyBorder="1" applyAlignment="1" applyProtection="1">
      <alignment horizontal="left" vertical="center"/>
      <protection/>
    </xf>
    <xf numFmtId="0" fontId="1" fillId="0" borderId="14" xfId="89" applyFont="1" applyFill="1" applyBorder="1" applyAlignment="1" applyProtection="1">
      <alignment horizontal="center" vertical="center"/>
      <protection/>
    </xf>
    <xf numFmtId="0" fontId="37" fillId="0" borderId="14" xfId="89" applyFont="1" applyBorder="1" applyAlignment="1" applyProtection="1">
      <alignment horizontal="center" vertical="center" wrapText="1"/>
      <protection/>
    </xf>
    <xf numFmtId="0" fontId="45" fillId="0" borderId="0" xfId="89" applyFont="1" applyAlignment="1" applyProtection="1">
      <alignment horizontal="left" vertical="center" indent="1"/>
      <protection/>
    </xf>
    <xf numFmtId="0" fontId="40" fillId="0" borderId="0" xfId="89" applyFont="1" applyBorder="1" applyAlignment="1" applyProtection="1">
      <alignment horizontal="left" vertical="center" wrapText="1"/>
      <protection/>
    </xf>
    <xf numFmtId="2" fontId="35" fillId="0" borderId="17" xfId="89" applyNumberFormat="1" applyFont="1" applyFill="1" applyBorder="1" applyAlignment="1" applyProtection="1">
      <alignment horizontal="center" vertical="center"/>
      <protection/>
    </xf>
    <xf numFmtId="0" fontId="0" fillId="0" borderId="0" xfId="89" applyFont="1" applyBorder="1" applyAlignment="1" applyProtection="1">
      <alignment horizontal="center" vertical="center"/>
      <protection/>
    </xf>
    <xf numFmtId="194" fontId="0" fillId="0" borderId="0" xfId="0" applyNumberFormat="1" applyFont="1" applyBorder="1" applyAlignment="1" applyProtection="1">
      <alignment horizontal="left"/>
      <protection locked="0"/>
    </xf>
    <xf numFmtId="196" fontId="0" fillId="0" borderId="13" xfId="0" applyNumberFormat="1" applyFont="1" applyBorder="1" applyAlignment="1" applyProtection="1">
      <alignment horizontal="left"/>
      <protection locked="0"/>
    </xf>
    <xf numFmtId="0" fontId="0" fillId="0" borderId="14" xfId="0" applyFont="1" applyBorder="1" applyAlignment="1">
      <alignment horizontal="center"/>
    </xf>
    <xf numFmtId="0" fontId="28" fillId="0" borderId="32" xfId="0" applyFont="1" applyFill="1" applyBorder="1" applyAlignment="1" applyProtection="1">
      <alignment horizontal="left" wrapText="1"/>
      <protection/>
    </xf>
    <xf numFmtId="0" fontId="28" fillId="0" borderId="10" xfId="0" applyFont="1" applyFill="1" applyBorder="1" applyAlignment="1" applyProtection="1">
      <alignment horizontal="left" wrapText="1"/>
      <protection/>
    </xf>
    <xf numFmtId="0" fontId="28" fillId="0" borderId="19" xfId="0" applyFont="1" applyFill="1" applyBorder="1" applyAlignment="1" applyProtection="1">
      <alignment horizontal="left" wrapText="1"/>
      <protection/>
    </xf>
    <xf numFmtId="0" fontId="32" fillId="22" borderId="11" xfId="0" applyFont="1" applyFill="1" applyBorder="1" applyAlignment="1" applyProtection="1">
      <alignment horizontal="left" wrapText="1"/>
      <protection locked="0"/>
    </xf>
    <xf numFmtId="0" fontId="32" fillId="22" borderId="0" xfId="0" applyFont="1" applyFill="1" applyBorder="1" applyAlignment="1" applyProtection="1">
      <alignment horizontal="left" wrapText="1"/>
      <protection locked="0"/>
    </xf>
    <xf numFmtId="0" fontId="32" fillId="22" borderId="12" xfId="0" applyFont="1" applyFill="1" applyBorder="1" applyAlignment="1" applyProtection="1">
      <alignment horizontal="left" wrapText="1"/>
      <protection locked="0"/>
    </xf>
    <xf numFmtId="0" fontId="32" fillId="22" borderId="18" xfId="0" applyFont="1" applyFill="1" applyBorder="1" applyAlignment="1" applyProtection="1">
      <alignment horizontal="left" wrapText="1"/>
      <protection locked="0"/>
    </xf>
    <xf numFmtId="0" fontId="32" fillId="22" borderId="13" xfId="0" applyFont="1" applyFill="1" applyBorder="1" applyAlignment="1" applyProtection="1">
      <alignment horizontal="left" wrapText="1"/>
      <protection locked="0"/>
    </xf>
    <xf numFmtId="0" fontId="32" fillId="22" borderId="38" xfId="0" applyFont="1" applyFill="1" applyBorder="1" applyAlignment="1" applyProtection="1">
      <alignment horizontal="left" wrapText="1"/>
      <protection locked="0"/>
    </xf>
    <xf numFmtId="0" fontId="32" fillId="0" borderId="32"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196" fontId="0" fillId="0" borderId="13" xfId="0" applyNumberFormat="1" applyFont="1" applyBorder="1" applyAlignment="1" applyProtection="1">
      <alignment horizontal="left"/>
      <protection/>
    </xf>
    <xf numFmtId="194" fontId="0" fillId="0" borderId="13" xfId="0" applyNumberFormat="1" applyFont="1" applyBorder="1" applyAlignment="1" applyProtection="1">
      <alignment horizontal="left"/>
      <protection/>
    </xf>
    <xf numFmtId="194" fontId="0" fillId="0" borderId="13" xfId="0" applyNumberFormat="1" applyFont="1" applyBorder="1" applyAlignment="1" applyProtection="1">
      <alignment horizontal="left" vertical="center"/>
      <protection/>
    </xf>
    <xf numFmtId="0" fontId="32" fillId="7" borderId="36" xfId="0" applyFont="1" applyFill="1" applyBorder="1" applyAlignment="1" applyProtection="1">
      <alignment horizontal="center" vertical="center" shrinkToFit="1"/>
      <protection/>
    </xf>
    <xf numFmtId="0" fontId="32" fillId="7" borderId="11" xfId="0" applyFont="1" applyFill="1" applyBorder="1" applyAlignment="1" applyProtection="1">
      <alignment horizontal="center" vertical="center" shrinkToFit="1"/>
      <protection/>
    </xf>
    <xf numFmtId="0" fontId="32" fillId="7" borderId="37" xfId="0" applyFont="1" applyFill="1" applyBorder="1" applyAlignment="1" applyProtection="1">
      <alignment horizontal="center" vertical="center" wrapText="1"/>
      <protection/>
    </xf>
    <xf numFmtId="0" fontId="32" fillId="7" borderId="12" xfId="0" applyFont="1" applyFill="1" applyBorder="1" applyAlignment="1" applyProtection="1">
      <alignment horizontal="center" vertical="center" wrapText="1"/>
      <protection/>
    </xf>
    <xf numFmtId="0" fontId="28" fillId="24" borderId="21" xfId="0" applyFont="1" applyFill="1" applyBorder="1" applyAlignment="1" applyProtection="1">
      <alignment horizontal="center" vertical="center" wrapText="1"/>
      <protection/>
    </xf>
    <xf numFmtId="0" fontId="28" fillId="24" borderId="39" xfId="0" applyFont="1" applyFill="1" applyBorder="1" applyAlignment="1" applyProtection="1">
      <alignment horizontal="center" vertical="center" wrapText="1"/>
      <protection/>
    </xf>
    <xf numFmtId="0" fontId="28" fillId="24" borderId="11" xfId="0" applyFont="1" applyFill="1" applyBorder="1" applyAlignment="1" applyProtection="1">
      <alignment horizontal="center" vertical="center" wrapText="1"/>
      <protection/>
    </xf>
    <xf numFmtId="0" fontId="28" fillId="24" borderId="12" xfId="0" applyFont="1" applyFill="1" applyBorder="1" applyAlignment="1" applyProtection="1">
      <alignment horizontal="center" vertical="center" wrapText="1"/>
      <protection/>
    </xf>
    <xf numFmtId="0" fontId="28" fillId="24" borderId="18" xfId="0" applyFont="1" applyFill="1" applyBorder="1" applyAlignment="1" applyProtection="1">
      <alignment horizontal="center" vertical="center" wrapText="1"/>
      <protection/>
    </xf>
    <xf numFmtId="0" fontId="28" fillId="24" borderId="38" xfId="0" applyFont="1" applyFill="1" applyBorder="1" applyAlignment="1" applyProtection="1">
      <alignment horizontal="center" vertical="center" wrapText="1"/>
      <protection/>
    </xf>
    <xf numFmtId="4" fontId="28" fillId="24" borderId="30" xfId="0" applyNumberFormat="1" applyFont="1" applyFill="1" applyBorder="1" applyAlignment="1" applyProtection="1">
      <alignment horizontal="center" vertical="center" shrinkToFit="1"/>
      <protection/>
    </xf>
    <xf numFmtId="4" fontId="28" fillId="24" borderId="15" xfId="0" applyNumberFormat="1" applyFont="1" applyFill="1" applyBorder="1" applyAlignment="1" applyProtection="1">
      <alignment horizontal="center" vertical="center" shrinkToFit="1"/>
      <protection/>
    </xf>
    <xf numFmtId="4" fontId="28" fillId="24" borderId="16" xfId="0" applyNumberFormat="1" applyFont="1" applyFill="1" applyBorder="1" applyAlignment="1" applyProtection="1">
      <alignment horizontal="center" vertical="center" shrinkToFit="1"/>
      <protection/>
    </xf>
    <xf numFmtId="4" fontId="32" fillId="7" borderId="28" xfId="0" applyNumberFormat="1" applyFont="1" applyFill="1" applyBorder="1" applyAlignment="1" applyProtection="1">
      <alignment horizontal="center" vertical="center"/>
      <protection/>
    </xf>
    <xf numFmtId="4" fontId="32" fillId="7" borderId="15" xfId="0" applyNumberFormat="1" applyFont="1" applyFill="1" applyBorder="1" applyAlignment="1" applyProtection="1">
      <alignment horizontal="center" vertical="center"/>
      <protection/>
    </xf>
    <xf numFmtId="175"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96" fontId="0" fillId="0" borderId="13" xfId="0" applyNumberFormat="1" applyFont="1" applyFill="1" applyBorder="1" applyAlignment="1" applyProtection="1">
      <alignment horizontal="left" vertical="center"/>
      <protection/>
    </xf>
    <xf numFmtId="0" fontId="32" fillId="0" borderId="0" xfId="0" applyFont="1" applyAlignment="1" applyProtection="1">
      <alignment horizontal="center" vertical="top" wrapText="1"/>
      <protection/>
    </xf>
    <xf numFmtId="0" fontId="4"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2" borderId="24" xfId="0" applyNumberFormat="1" applyFont="1" applyFill="1" applyBorder="1" applyAlignment="1" applyProtection="1">
      <alignment vertical="center" wrapText="1"/>
      <protection/>
    </xf>
    <xf numFmtId="0" fontId="0" fillId="22" borderId="24" xfId="0" applyNumberFormat="1" applyFont="1" applyFill="1" applyBorder="1" applyAlignment="1" applyProtection="1">
      <alignment horizontal="center" vertical="center" wrapText="1"/>
      <protection/>
    </xf>
    <xf numFmtId="165" fontId="0" fillId="22" borderId="24" xfId="106" applyNumberFormat="1" applyFont="1" applyFill="1" applyBorder="1" applyAlignment="1" applyProtection="1">
      <alignment vertical="center" shrinkToFit="1"/>
      <protection/>
    </xf>
    <xf numFmtId="165"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cel Built-in Normal" xfId="71"/>
    <cellStyle name="Explanatory Text" xfId="72"/>
    <cellStyle name="Good" xfId="73"/>
    <cellStyle name="Heading 1" xfId="74"/>
    <cellStyle name="Heading 2" xfId="75"/>
    <cellStyle name="Heading 3" xfId="76"/>
    <cellStyle name="Heading 4" xfId="77"/>
    <cellStyle name="Hyperlink" xfId="78"/>
    <cellStyle name="Followed Hyperlink" xfId="79"/>
    <cellStyle name="Incorreto" xfId="80"/>
    <cellStyle name="Input" xfId="81"/>
    <cellStyle name="Linked Cell" xfId="82"/>
    <cellStyle name="Currency" xfId="83"/>
    <cellStyle name="Currency [0]" xfId="84"/>
    <cellStyle name="Moeda 2" xfId="85"/>
    <cellStyle name="Moeda_Composicao BDI v2.1" xfId="86"/>
    <cellStyle name="Neutra" xfId="87"/>
    <cellStyle name="Neutral" xfId="88"/>
    <cellStyle name="Normal 2" xfId="89"/>
    <cellStyle name="Normal_FICHA DE VERIFICAÇÃO PRELIMINAR - Plano R" xfId="90"/>
    <cellStyle name="Nota" xfId="91"/>
    <cellStyle name="Note" xfId="92"/>
    <cellStyle name="Output" xfId="93"/>
    <cellStyle name="Percent" xfId="94"/>
    <cellStyle name="Saída" xfId="95"/>
    <cellStyle name="Comma [0]"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Comma" xfId="106"/>
    <cellStyle name="Warning Text" xfId="107"/>
  </cellStyles>
  <dxfs count="277">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border>
        <top style="thin"/>
      </border>
    </dxf>
    <dxf>
      <fill>
        <patternFill>
          <bgColor indexed="55"/>
        </patternFill>
      </fill>
    </dxf>
    <dxf>
      <font>
        <color indexed="9"/>
      </font>
      <fill>
        <patternFill patternType="none">
          <bgColor indexed="65"/>
        </patternFill>
      </fill>
      <border>
        <top/>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font>
      <fill>
        <patternFill>
          <bgColor indexed="55"/>
        </patternFill>
      </fill>
      <border>
        <top style="thin"/>
      </border>
    </dxf>
    <dxf>
      <font>
        <color indexed="9"/>
      </font>
      <fill>
        <patternFill patternType="none">
          <bgColor indexed="65"/>
        </patternFill>
      </fill>
      <border>
        <left/>
        <right/>
        <top/>
        <bottom/>
      </border>
    </dxf>
    <dxf>
      <font>
        <b/>
        <i val="0"/>
        <color indexed="9"/>
      </font>
      <fill>
        <patternFill>
          <bgColor indexed="10"/>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bgColor indexed="43"/>
        </patternFill>
      </fill>
    </dxf>
    <dxf>
      <font>
        <color indexed="9"/>
      </font>
      <fill>
        <patternFill patternType="none">
          <bgColor indexed="65"/>
        </patternFill>
      </fill>
      <border>
        <left/>
        <right/>
        <top/>
        <bottom/>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ont>
        <color rgb="FFFF0000"/>
      </font>
      <border>
        <left style="thin">
          <color rgb="FF000000"/>
        </left>
        <right style="thin">
          <color rgb="FF000000"/>
        </right>
        <top style="thin"/>
        <bottom style="thin">
          <color rgb="FF000000"/>
        </bottom>
      </border>
    </dxf>
    <dxf>
      <font>
        <color rgb="FF008000"/>
      </font>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
      <font>
        <b/>
        <i val="0"/>
      </font>
      <fill>
        <patternFill>
          <bgColor rgb="FF969696"/>
        </patternFill>
      </fill>
      <border>
        <top style="thin">
          <color rgb="FF000000"/>
        </top>
      </border>
    </dxf>
    <dxf>
      <font>
        <b/>
        <i val="0"/>
        <color rgb="FF969696"/>
      </font>
      <fill>
        <patternFill>
          <bgColor rgb="FF969696"/>
        </patternFill>
      </fill>
      <border>
        <top style="thin">
          <color rgb="FF000000"/>
        </top>
      </border>
    </dxf>
    <dxf>
      <font>
        <b val="0"/>
        <i val="0"/>
        <color rgb="FF969696"/>
      </font>
      <fill>
        <patternFill>
          <bgColor rgb="FF969696"/>
        </patternFill>
      </fill>
      <border>
        <top style="thin">
          <color rgb="FF000000"/>
        </top>
      </border>
    </dxf>
    <dxf>
      <font>
        <b/>
        <i val="0"/>
        <u val="single"/>
        <color auto="1"/>
      </font>
      <fill>
        <patternFill>
          <bgColor rgb="FF969696"/>
        </patternFill>
      </fill>
      <border>
        <top style="thin">
          <color rgb="FF000000"/>
        </top>
      </border>
    </dxf>
    <dxf>
      <border>
        <top style="thin">
          <color rgb="FF000000"/>
        </top>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8.emf" /><Relationship Id="rId3" Type="http://schemas.openxmlformats.org/officeDocument/2006/relationships/image" Target="../media/image17.emf" /><Relationship Id="rId4" Type="http://schemas.openxmlformats.org/officeDocument/2006/relationships/image" Target="../media/image12.emf" /><Relationship Id="rId5" Type="http://schemas.openxmlformats.org/officeDocument/2006/relationships/image" Target="../media/image19.emf" /><Relationship Id="rId6" Type="http://schemas.openxmlformats.org/officeDocument/2006/relationships/image" Target="../media/image13.emf" /><Relationship Id="rId7" Type="http://schemas.openxmlformats.org/officeDocument/2006/relationships/image" Target="../media/image17.emf" /><Relationship Id="rId8" Type="http://schemas.openxmlformats.org/officeDocument/2006/relationships/image" Target="../media/image13.emf" /><Relationship Id="rId9" Type="http://schemas.openxmlformats.org/officeDocument/2006/relationships/image" Target="../media/image19.emf" /><Relationship Id="rId10" Type="http://schemas.openxmlformats.org/officeDocument/2006/relationships/image" Target="../media/image13.emf" /><Relationship Id="rId11" Type="http://schemas.openxmlformats.org/officeDocument/2006/relationships/image" Target="../media/image19.emf" /><Relationship Id="rId12" Type="http://schemas.openxmlformats.org/officeDocument/2006/relationships/image" Target="../media/image12.emf" /><Relationship Id="rId13" Type="http://schemas.openxmlformats.org/officeDocument/2006/relationships/image" Target="../media/image17.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2" name="Picture 476"/>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2" name="Picture 1"/>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19050</xdr:rowOff>
    </xdr:from>
    <xdr:to>
      <xdr:col>11</xdr:col>
      <xdr:colOff>1009650</xdr:colOff>
      <xdr:row>2</xdr:row>
      <xdr:rowOff>76200</xdr:rowOff>
    </xdr:to>
    <xdr:pic>
      <xdr:nvPicPr>
        <xdr:cNvPr id="1" name="Picture 555"/>
        <xdr:cNvPicPr preferRelativeResize="1">
          <a:picLocks noChangeAspect="1"/>
        </xdr:cNvPicPr>
      </xdr:nvPicPr>
      <xdr:blipFill>
        <a:blip r:embed="rId1"/>
        <a:stretch>
          <a:fillRect/>
        </a:stretch>
      </xdr:blipFill>
      <xdr:spPr>
        <a:xfrm>
          <a:off x="638175" y="19050"/>
          <a:ext cx="18002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1104900</xdr:colOff>
      <xdr:row>1</xdr:row>
      <xdr:rowOff>190500</xdr:rowOff>
    </xdr:to>
    <xdr:pic>
      <xdr:nvPicPr>
        <xdr:cNvPr id="1" name="Picture 160"/>
        <xdr:cNvPicPr preferRelativeResize="1">
          <a:picLocks noChangeAspect="1"/>
        </xdr:cNvPicPr>
      </xdr:nvPicPr>
      <xdr:blipFill>
        <a:blip r:embed="rId1"/>
        <a:stretch>
          <a:fillRect/>
        </a:stretch>
      </xdr:blipFill>
      <xdr:spPr>
        <a:xfrm>
          <a:off x="876300" y="28575"/>
          <a:ext cx="1790700" cy="381000"/>
        </a:xfrm>
        <a:prstGeom prst="rect">
          <a:avLst/>
        </a:prstGeom>
        <a:noFill/>
        <a:ln w="9525" cmpd="sng">
          <a:noFill/>
        </a:ln>
      </xdr:spPr>
    </xdr:pic>
    <xdr:clientData/>
  </xdr:twoCellAnchor>
  <xdr:twoCellAnchor>
    <xdr:from>
      <xdr:col>3</xdr:col>
      <xdr:colOff>28575</xdr:colOff>
      <xdr:row>8</xdr:row>
      <xdr:rowOff>123825</xdr:rowOff>
    </xdr:from>
    <xdr:to>
      <xdr:col>4</xdr:col>
      <xdr:colOff>800100</xdr:colOff>
      <xdr:row>8</xdr:row>
      <xdr:rowOff>638175</xdr:rowOff>
    </xdr:to>
    <xdr:sp>
      <xdr:nvSpPr>
        <xdr:cNvPr id="2" name="AutoShape 68" descr="Frente de Obra:"/>
        <xdr:cNvSpPr>
          <a:spLocks/>
        </xdr:cNvSpPr>
      </xdr:nvSpPr>
      <xdr:spPr>
        <a:xfrm>
          <a:off x="5629275" y="2095500"/>
          <a:ext cx="1285875" cy="514350"/>
        </a:xfrm>
        <a:prstGeom prst="rightArrow">
          <a:avLst>
            <a:gd name="adj" fmla="val 27120"/>
          </a:avLst>
        </a:prstGeom>
        <a:solidFill>
          <a:srgbClr val="CCFFCC"/>
        </a:solidFill>
        <a:ln w="9525" cmpd="sng">
          <a:solidFill>
            <a:srgbClr val="000000"/>
          </a:solidFill>
          <a:headEnd type="none"/>
          <a:tailEnd type="none"/>
        </a:ln>
      </xdr:spPr>
      <xdr:txBody>
        <a:bodyPr vertOverflow="clip" wrap="square" lIns="27432" tIns="22860" rIns="27432" bIns="22860"/>
        <a:p>
          <a:pPr algn="l">
            <a:defRPr/>
          </a:pPr>
          <a:r>
            <a:rPr lang="en-US" cap="none" sz="1000" b="1" i="0" u="none" baseline="0">
              <a:solidFill>
                <a:srgbClr val="000000"/>
              </a:solidFill>
              <a:latin typeface="Arial"/>
              <a:ea typeface="Arial"/>
              <a:cs typeface="Arial"/>
            </a:rPr>
            <a:t>Frente de Obra: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38100</xdr:rowOff>
    </xdr:from>
    <xdr:to>
      <xdr:col>12</xdr:col>
      <xdr:colOff>1133475</xdr:colOff>
      <xdr:row>2</xdr:row>
      <xdr:rowOff>95250</xdr:rowOff>
    </xdr:to>
    <xdr:pic>
      <xdr:nvPicPr>
        <xdr:cNvPr id="1" name="Picture 962"/>
        <xdr:cNvPicPr preferRelativeResize="1">
          <a:picLocks noChangeAspect="1"/>
        </xdr:cNvPicPr>
      </xdr:nvPicPr>
      <xdr:blipFill>
        <a:blip r:embed="rId1"/>
        <a:stretch>
          <a:fillRect/>
        </a:stretch>
      </xdr:blipFill>
      <xdr:spPr>
        <a:xfrm>
          <a:off x="57150" y="38100"/>
          <a:ext cx="1790700" cy="381000"/>
        </a:xfrm>
        <a:prstGeom prst="rect">
          <a:avLst/>
        </a:prstGeom>
        <a:noFill/>
        <a:ln w="9525" cmpd="sng">
          <a:noFill/>
        </a:ln>
      </xdr:spPr>
    </xdr:pic>
    <xdr:clientData/>
  </xdr:twoCellAnchor>
  <xdr:oneCellAnchor>
    <xdr:from>
      <xdr:col>11</xdr:col>
      <xdr:colOff>628650</xdr:colOff>
      <xdr:row>7</xdr:row>
      <xdr:rowOff>209550</xdr:rowOff>
    </xdr:from>
    <xdr:ext cx="1781175" cy="342900"/>
    <xdr:sp macro="[0]!EditarCRONO">
      <xdr:nvSpPr>
        <xdr:cNvPr id="2" name="AddCFF"/>
        <xdr:cNvSpPr txBox="1">
          <a:spLocks noChangeArrowheads="1"/>
        </xdr:cNvSpPr>
      </xdr:nvSpPr>
      <xdr:spPr>
        <a:xfrm>
          <a:off x="628650" y="1914525"/>
          <a:ext cx="1781175" cy="342900"/>
        </a:xfrm>
        <a:prstGeom prst="rect">
          <a:avLst/>
        </a:prstGeom>
        <a:solidFill>
          <a:srgbClr val="99FF99"/>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EDITAR / ATUALIZAR CRONOGRAMA</a:t>
          </a:r>
        </a:p>
      </xdr:txBody>
    </xdr:sp>
    <xdr:clientData fPrintsWithSheet="0"/>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Plan3">
    <tabColor rgb="FFFFC000"/>
    <pageSetUpPr fitToPage="1"/>
  </sheetPr>
  <dimension ref="A1:Y257"/>
  <sheetViews>
    <sheetView showGridLines="0" zoomScaleSheetLayoutView="100" zoomScalePageLayoutView="0" workbookViewId="0" topLeftCell="A19">
      <selection activeCell="G38" sqref="G38:S38"/>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90" t="s">
        <v>2</v>
      </c>
      <c r="C1" s="290"/>
      <c r="D1" s="290"/>
      <c r="E1" s="290"/>
      <c r="F1" s="290"/>
      <c r="G1" s="290"/>
      <c r="H1" s="290"/>
      <c r="I1" s="290"/>
      <c r="J1" s="290"/>
      <c r="K1" s="290"/>
      <c r="L1" s="290"/>
      <c r="M1" s="290"/>
      <c r="N1" s="290"/>
      <c r="O1" s="290"/>
      <c r="P1" s="290"/>
      <c r="Q1" s="290"/>
      <c r="R1" s="290"/>
      <c r="S1" s="290"/>
      <c r="T1" s="290"/>
      <c r="U1" s="290"/>
      <c r="V1" s="290"/>
      <c r="W1" s="290"/>
      <c r="X1" s="291"/>
    </row>
    <row r="2" spans="1:24" ht="13.5" customHeight="1">
      <c r="A2" s="105" t="s">
        <v>228</v>
      </c>
      <c r="B2" s="292"/>
      <c r="C2" s="292"/>
      <c r="D2" s="292"/>
      <c r="E2" s="292"/>
      <c r="F2" s="292"/>
      <c r="G2" s="292"/>
      <c r="H2" s="292"/>
      <c r="I2" s="292"/>
      <c r="J2" s="292"/>
      <c r="K2" s="292"/>
      <c r="L2" s="292"/>
      <c r="M2" s="292"/>
      <c r="N2" s="292"/>
      <c r="O2" s="292"/>
      <c r="P2" s="292"/>
      <c r="Q2" s="292"/>
      <c r="R2" s="292"/>
      <c r="S2" s="292"/>
      <c r="T2" s="292"/>
      <c r="U2" s="292"/>
      <c r="V2" s="292"/>
      <c r="W2" s="292"/>
      <c r="X2" s="293"/>
    </row>
    <row r="3" spans="1:8" ht="13.5" customHeight="1">
      <c r="A3" s="1"/>
      <c r="B3" s="1"/>
      <c r="F3" s="1"/>
      <c r="G3" s="1"/>
      <c r="H3" s="1"/>
    </row>
    <row r="4" spans="1:24" s="21" customFormat="1" ht="12.75" customHeight="1">
      <c r="A4" s="306" t="s">
        <v>168</v>
      </c>
      <c r="B4" s="306"/>
      <c r="C4" s="306"/>
      <c r="D4" s="306"/>
      <c r="E4" s="306"/>
      <c r="F4" s="306"/>
      <c r="G4" s="306"/>
      <c r="H4" s="306"/>
      <c r="I4" s="306"/>
      <c r="J4" s="306"/>
      <c r="K4" s="306"/>
      <c r="L4" s="306"/>
      <c r="M4" s="306"/>
      <c r="N4" s="306"/>
      <c r="O4" s="306"/>
      <c r="P4" s="306"/>
      <c r="Q4" s="306"/>
      <c r="R4" s="306"/>
      <c r="S4" s="306"/>
      <c r="T4" s="306"/>
      <c r="U4" s="306"/>
      <c r="V4" s="306"/>
      <c r="W4" s="306"/>
      <c r="X4" s="306"/>
    </row>
    <row r="5" spans="1:8" s="21" customFormat="1" ht="12.75">
      <c r="A5" s="22"/>
      <c r="B5" s="22"/>
      <c r="F5" s="23"/>
      <c r="G5" s="23"/>
      <c r="H5" s="23"/>
    </row>
    <row r="6" spans="1:24" s="22" customFormat="1" ht="24.75" customHeight="1">
      <c r="A6" s="307" t="s">
        <v>179</v>
      </c>
      <c r="B6" s="308"/>
      <c r="C6" s="308"/>
      <c r="D6" s="308"/>
      <c r="E6" s="308"/>
      <c r="F6" s="308"/>
      <c r="G6" s="308"/>
      <c r="H6" s="308"/>
      <c r="I6" s="308"/>
      <c r="J6" s="308"/>
      <c r="K6" s="308"/>
      <c r="L6" s="308"/>
      <c r="M6" s="308"/>
      <c r="N6" s="308"/>
      <c r="O6" s="308"/>
      <c r="P6" s="308"/>
      <c r="Q6" s="308"/>
      <c r="R6" s="308"/>
      <c r="S6" s="308"/>
      <c r="T6" s="308"/>
      <c r="U6" s="308"/>
      <c r="V6" s="308"/>
      <c r="W6" s="308"/>
      <c r="X6" s="308"/>
    </row>
    <row r="7" spans="1:8" s="21" customFormat="1" ht="12.75" customHeight="1">
      <c r="A7" s="22"/>
      <c r="B7" s="22"/>
      <c r="F7" s="23"/>
      <c r="G7" s="23"/>
      <c r="H7" s="23"/>
    </row>
    <row r="8" spans="1:25" s="21" customFormat="1" ht="12.75" customHeight="1">
      <c r="A8" s="309" t="s">
        <v>23</v>
      </c>
      <c r="B8" s="309"/>
      <c r="C8" s="309"/>
      <c r="D8" s="309"/>
      <c r="E8" s="309"/>
      <c r="F8" s="309"/>
      <c r="G8" s="309"/>
      <c r="H8" s="309"/>
      <c r="I8" s="309"/>
      <c r="J8" s="309"/>
      <c r="K8" s="309"/>
      <c r="L8" s="309"/>
      <c r="M8" s="309"/>
      <c r="N8" s="309"/>
      <c r="O8" s="309"/>
      <c r="P8" s="309"/>
      <c r="Q8" s="309"/>
      <c r="R8" s="309"/>
      <c r="S8" s="309"/>
      <c r="T8" s="309"/>
      <c r="U8" s="309"/>
      <c r="V8" s="309"/>
      <c r="W8" s="309"/>
      <c r="X8" s="309"/>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311" t="s">
        <v>169</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75" customHeight="1">
      <c r="A12" s="311" t="s">
        <v>1</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row>
    <row r="13" spans="1:8" s="21" customFormat="1" ht="12.75">
      <c r="A13" s="22"/>
      <c r="B13" s="22"/>
      <c r="F13" s="23"/>
      <c r="G13" s="23"/>
      <c r="H13" s="23"/>
    </row>
    <row r="14" spans="1:24" s="21" customFormat="1" ht="12.75">
      <c r="A14" s="310" t="s">
        <v>24</v>
      </c>
      <c r="B14" s="309"/>
      <c r="C14" s="309"/>
      <c r="D14" s="309"/>
      <c r="E14" s="309"/>
      <c r="F14" s="309"/>
      <c r="G14" s="309"/>
      <c r="H14" s="309"/>
      <c r="I14" s="309"/>
      <c r="J14" s="309"/>
      <c r="K14" s="309"/>
      <c r="L14" s="309"/>
      <c r="M14" s="309"/>
      <c r="N14" s="309"/>
      <c r="O14" s="309"/>
      <c r="P14" s="309"/>
      <c r="Q14" s="309"/>
      <c r="R14" s="309"/>
      <c r="S14" s="309"/>
      <c r="T14" s="309"/>
      <c r="U14" s="309"/>
      <c r="V14" s="309"/>
      <c r="W14" s="309"/>
      <c r="X14" s="309"/>
    </row>
    <row r="15" spans="1:8" s="21" customFormat="1" ht="12.75">
      <c r="A15" s="22"/>
      <c r="B15" s="22"/>
      <c r="F15" s="23"/>
      <c r="G15" s="23"/>
      <c r="H15" s="23"/>
    </row>
    <row r="16" spans="1:24" s="21" customFormat="1" ht="12.75">
      <c r="A16" s="301" t="s">
        <v>186</v>
      </c>
      <c r="B16" s="302"/>
      <c r="C16" s="302"/>
      <c r="D16" s="302"/>
      <c r="E16" s="302"/>
      <c r="F16" s="302"/>
      <c r="G16" s="302"/>
      <c r="H16" s="302"/>
      <c r="I16" s="302"/>
      <c r="J16" s="302"/>
      <c r="K16" s="302"/>
      <c r="L16" s="302"/>
      <c r="M16" s="302"/>
      <c r="N16" s="302"/>
      <c r="O16" s="302"/>
      <c r="P16" s="302"/>
      <c r="Q16" s="302"/>
      <c r="R16" s="302"/>
      <c r="S16" s="302"/>
      <c r="T16" s="302"/>
      <c r="U16" s="302"/>
      <c r="V16" s="302"/>
      <c r="W16" s="302"/>
      <c r="X16" s="302"/>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77" t="s">
        <v>187</v>
      </c>
      <c r="B18" s="277"/>
      <c r="C18" s="278"/>
      <c r="D18" s="278"/>
      <c r="E18" s="278"/>
      <c r="F18" s="278"/>
      <c r="G18" s="278"/>
      <c r="H18" s="278"/>
      <c r="I18" s="278"/>
      <c r="J18" s="278"/>
      <c r="K18" s="278"/>
      <c r="L18" s="278"/>
      <c r="M18" s="278"/>
      <c r="N18" s="278"/>
      <c r="O18" s="278"/>
      <c r="P18" s="278"/>
      <c r="Q18" s="278"/>
      <c r="R18" s="278"/>
      <c r="S18" s="278"/>
      <c r="T18" s="278"/>
      <c r="U18" s="278"/>
      <c r="V18" s="278"/>
      <c r="W18" s="278"/>
      <c r="X18" s="278"/>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301" t="s">
        <v>189</v>
      </c>
      <c r="B22" s="302"/>
      <c r="C22" s="302"/>
      <c r="D22" s="302"/>
      <c r="E22" s="302"/>
      <c r="F22" s="302"/>
      <c r="G22" s="302"/>
      <c r="H22" s="302"/>
      <c r="I22" s="302"/>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77" t="s">
        <v>190</v>
      </c>
      <c r="B24" s="277"/>
      <c r="C24" s="278"/>
      <c r="D24" s="278"/>
      <c r="E24" s="278"/>
      <c r="F24" s="278"/>
      <c r="G24" s="278"/>
      <c r="H24" s="278"/>
      <c r="I24" s="278"/>
      <c r="J24" s="278"/>
      <c r="K24" s="278"/>
      <c r="L24" s="278"/>
      <c r="M24" s="278"/>
      <c r="N24" s="278"/>
      <c r="O24" s="278"/>
      <c r="P24" s="278"/>
      <c r="Q24" s="278"/>
      <c r="R24" s="278"/>
      <c r="S24" s="278"/>
      <c r="T24" s="278"/>
      <c r="U24" s="278"/>
      <c r="V24" s="278"/>
      <c r="W24" s="278"/>
      <c r="X24" s="278"/>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51" t="s">
        <v>191</v>
      </c>
      <c r="B26" s="251"/>
      <c r="C26" s="252"/>
      <c r="D26" s="252"/>
      <c r="E26" s="252"/>
      <c r="F26" s="252"/>
      <c r="G26" s="252"/>
      <c r="H26" s="252"/>
      <c r="I26" s="252"/>
      <c r="J26" s="252"/>
      <c r="K26" s="252"/>
      <c r="L26" s="252"/>
      <c r="M26" s="252"/>
      <c r="N26" s="252"/>
      <c r="O26" s="252"/>
      <c r="P26" s="252"/>
      <c r="Q26" s="252"/>
      <c r="R26" s="252"/>
      <c r="S26" s="252"/>
      <c r="T26" s="252"/>
      <c r="U26" s="252"/>
      <c r="V26" s="252"/>
      <c r="W26" s="252"/>
      <c r="X26" s="252"/>
    </row>
    <row r="27" spans="1:8" s="21" customFormat="1" ht="6" customHeight="1">
      <c r="A27" s="25"/>
      <c r="B27" s="25"/>
      <c r="F27" s="23"/>
      <c r="G27" s="23"/>
      <c r="H27" s="23"/>
    </row>
    <row r="28" spans="1:24" ht="12.75" customHeight="1">
      <c r="A28" s="233" t="s">
        <v>177</v>
      </c>
      <c r="B28" s="235"/>
      <c r="C28" s="233" t="s">
        <v>170</v>
      </c>
      <c r="D28" s="234"/>
      <c r="E28" s="235"/>
      <c r="F28" s="233" t="s">
        <v>171</v>
      </c>
      <c r="G28" s="234"/>
      <c r="H28" s="234"/>
      <c r="I28" s="235"/>
      <c r="J28" s="233" t="s">
        <v>172</v>
      </c>
      <c r="K28" s="234"/>
      <c r="L28" s="234"/>
      <c r="M28" s="234"/>
      <c r="N28" s="234"/>
      <c r="O28" s="235"/>
      <c r="P28" s="233" t="s">
        <v>0</v>
      </c>
      <c r="Q28" s="234"/>
      <c r="R28" s="234"/>
      <c r="S28" s="234"/>
      <c r="T28" s="234"/>
      <c r="U28" s="234"/>
      <c r="V28" s="234"/>
      <c r="W28" s="234"/>
      <c r="X28" s="235"/>
    </row>
    <row r="29" spans="1:24" ht="12.75" customHeight="1">
      <c r="A29" s="239"/>
      <c r="B29" s="241"/>
      <c r="C29" s="236"/>
      <c r="D29" s="237"/>
      <c r="E29" s="238"/>
      <c r="F29" s="239"/>
      <c r="G29" s="240"/>
      <c r="H29" s="240"/>
      <c r="I29" s="241"/>
      <c r="J29" s="239"/>
      <c r="K29" s="240"/>
      <c r="L29" s="240"/>
      <c r="M29" s="240"/>
      <c r="N29" s="240"/>
      <c r="O29" s="241"/>
      <c r="P29" s="236" t="s">
        <v>256</v>
      </c>
      <c r="Q29" s="240"/>
      <c r="R29" s="240"/>
      <c r="S29" s="240"/>
      <c r="T29" s="240"/>
      <c r="U29" s="240"/>
      <c r="V29" s="240"/>
      <c r="W29" s="240"/>
      <c r="X29" s="241"/>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33" t="s">
        <v>173</v>
      </c>
      <c r="B31" s="234"/>
      <c r="C31" s="234"/>
      <c r="D31" s="234"/>
      <c r="E31" s="234"/>
      <c r="F31" s="235"/>
      <c r="G31" s="233" t="s">
        <v>174</v>
      </c>
      <c r="H31" s="234"/>
      <c r="I31" s="234"/>
      <c r="J31" s="235"/>
      <c r="K31" s="233" t="s">
        <v>175</v>
      </c>
      <c r="L31" s="234"/>
      <c r="M31" s="234"/>
      <c r="N31" s="234"/>
      <c r="O31" s="234"/>
      <c r="P31" s="235"/>
      <c r="Q31" s="233" t="s">
        <v>180</v>
      </c>
      <c r="R31" s="234"/>
      <c r="S31" s="234"/>
      <c r="T31" s="234"/>
      <c r="U31" s="234"/>
      <c r="V31" s="234"/>
      <c r="W31" s="234"/>
      <c r="X31" s="235"/>
    </row>
    <row r="32" spans="1:24" ht="12.75">
      <c r="A32" s="242" t="s">
        <v>239</v>
      </c>
      <c r="B32" s="243"/>
      <c r="C32" s="243"/>
      <c r="D32" s="243"/>
      <c r="E32" s="243"/>
      <c r="F32" s="244"/>
      <c r="G32" s="236" t="s">
        <v>238</v>
      </c>
      <c r="H32" s="237"/>
      <c r="I32" s="237"/>
      <c r="J32" s="238"/>
      <c r="K32" s="239" t="s">
        <v>264</v>
      </c>
      <c r="L32" s="240"/>
      <c r="M32" s="240"/>
      <c r="N32" s="240"/>
      <c r="O32" s="240"/>
      <c r="P32" s="241"/>
      <c r="Q32" s="239" t="s">
        <v>265</v>
      </c>
      <c r="R32" s="240"/>
      <c r="S32" s="240"/>
      <c r="T32" s="240"/>
      <c r="U32" s="240"/>
      <c r="V32" s="240"/>
      <c r="W32" s="240"/>
      <c r="X32" s="241"/>
    </row>
    <row r="33" spans="1:8" s="21" customFormat="1" ht="9" customHeight="1">
      <c r="A33" s="22"/>
      <c r="B33" s="22"/>
      <c r="F33" s="23"/>
      <c r="G33" s="23"/>
      <c r="H33" s="23"/>
    </row>
    <row r="34" s="27" customFormat="1" ht="12.75"/>
    <row r="35" spans="1:24" s="21" customFormat="1" ht="12.75" customHeight="1">
      <c r="A35" s="251" t="s">
        <v>192</v>
      </c>
      <c r="B35" s="251"/>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33" t="s">
        <v>16</v>
      </c>
      <c r="B37" s="235"/>
      <c r="C37" s="92" t="s">
        <v>91</v>
      </c>
      <c r="D37" s="233" t="s">
        <v>14</v>
      </c>
      <c r="E37" s="234"/>
      <c r="F37" s="235"/>
      <c r="G37" s="233" t="s">
        <v>12</v>
      </c>
      <c r="H37" s="234"/>
      <c r="I37" s="234"/>
      <c r="J37" s="234"/>
      <c r="K37" s="234"/>
      <c r="L37" s="234"/>
      <c r="M37" s="234"/>
      <c r="N37" s="234"/>
      <c r="O37" s="234"/>
      <c r="P37" s="234"/>
      <c r="Q37" s="234"/>
      <c r="R37" s="234"/>
      <c r="S37" s="235"/>
      <c r="T37" s="93" t="s">
        <v>7</v>
      </c>
      <c r="U37" s="93" t="s">
        <v>8</v>
      </c>
      <c r="V37" s="93" t="s">
        <v>9</v>
      </c>
      <c r="W37" s="93" t="s">
        <v>10</v>
      </c>
      <c r="X37" s="93" t="s">
        <v>11</v>
      </c>
    </row>
    <row r="38" spans="1:24" s="21" customFormat="1" ht="12.75" customHeight="1">
      <c r="A38" s="286">
        <v>43252</v>
      </c>
      <c r="B38" s="287"/>
      <c r="C38" s="91" t="s">
        <v>237</v>
      </c>
      <c r="D38" s="236" t="s">
        <v>78</v>
      </c>
      <c r="E38" s="237"/>
      <c r="F38" s="238"/>
      <c r="G38" s="236" t="s">
        <v>265</v>
      </c>
      <c r="H38" s="237"/>
      <c r="I38" s="237"/>
      <c r="J38" s="237"/>
      <c r="K38" s="237"/>
      <c r="L38" s="237"/>
      <c r="M38" s="237"/>
      <c r="N38" s="237"/>
      <c r="O38" s="237"/>
      <c r="P38" s="237"/>
      <c r="Q38" s="237"/>
      <c r="R38" s="237"/>
      <c r="S38" s="238"/>
      <c r="T38" s="95">
        <f ca="1">IF(ISERROR(INDIRECT("'BDI ("&amp;RIGHT(T37,1)&amp;")'!N27")),"",INDIRECT("'BDI ("&amp;RIGHT(T37,1)&amp;")'!N27"))</f>
        <v>0.3052</v>
      </c>
      <c r="U38" s="96">
        <f ca="1">IF(ISERROR(INDIRECT("'BDI ("&amp;RIGHT(U37,1)&amp;")'!N27")),"",INDIRECT("'BDI ("&amp;RIGHT(U37,1)&amp;")'!N27"))</f>
        <v>0.2272</v>
      </c>
      <c r="V38" s="96">
        <f ca="1">IF(ISERROR(INDIRECT("'BDI ("&amp;RIGHT(V37,1)&amp;")'!N27")),"",INDIRECT("'BDI ("&amp;RIGHT(V37,1)&amp;")'!N27"))</f>
      </c>
      <c r="W38" s="96">
        <f ca="1">IF(ISERROR(INDIRECT("'BDI ("&amp;RIGHT(W37,1)&amp;")'!N27")),"",INDIRECT("'BDI ("&amp;RIGHT(W37,1)&amp;")'!N27"))</f>
      </c>
      <c r="X38" s="96">
        <f ca="1">IF(ISERROR(INDIRECT("'BDI ("&amp;RIGHT(X37,1)&amp;")'!N27")),"",INDIRECT("'BDI ("&amp;RIGHT(X37,1)&amp;")'!N27"))</f>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51" t="s">
        <v>162</v>
      </c>
      <c r="B40" s="251"/>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33" t="s">
        <v>87</v>
      </c>
      <c r="B42" s="235"/>
      <c r="C42" s="233" t="s">
        <v>111</v>
      </c>
      <c r="D42" s="234"/>
      <c r="E42" s="234"/>
      <c r="F42" s="234"/>
      <c r="G42" s="234"/>
      <c r="H42" s="233" t="s">
        <v>16</v>
      </c>
      <c r="I42" s="234"/>
      <c r="J42" s="28" t="s">
        <v>91</v>
      </c>
      <c r="K42" s="233" t="s">
        <v>88</v>
      </c>
      <c r="L42" s="234"/>
      <c r="M42" s="235"/>
      <c r="N42" s="28" t="s">
        <v>92</v>
      </c>
      <c r="O42" s="233" t="s">
        <v>93</v>
      </c>
      <c r="P42" s="234"/>
      <c r="Q42" s="234"/>
      <c r="R42" s="234"/>
      <c r="S42" s="234"/>
      <c r="T42" s="235"/>
      <c r="U42" s="294" t="s">
        <v>89</v>
      </c>
      <c r="V42" s="295"/>
      <c r="W42" s="294" t="s">
        <v>90</v>
      </c>
      <c r="X42" s="295"/>
    </row>
    <row r="43" spans="1:24" s="21" customFormat="1" ht="12.75" customHeight="1">
      <c r="A43" s="304"/>
      <c r="B43" s="305"/>
      <c r="C43" s="236"/>
      <c r="D43" s="237"/>
      <c r="E43" s="237"/>
      <c r="F43" s="237"/>
      <c r="G43" s="237"/>
      <c r="H43" s="286"/>
      <c r="I43" s="287"/>
      <c r="J43" s="88"/>
      <c r="K43" s="283"/>
      <c r="L43" s="284"/>
      <c r="M43" s="285"/>
      <c r="N43" s="104"/>
      <c r="O43" s="297"/>
      <c r="P43" s="298"/>
      <c r="Q43" s="298"/>
      <c r="R43" s="299"/>
      <c r="S43" s="299"/>
      <c r="T43" s="300"/>
      <c r="U43" s="281"/>
      <c r="V43" s="282"/>
      <c r="W43" s="281"/>
      <c r="X43" s="296"/>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51" t="s">
        <v>193</v>
      </c>
      <c r="B45" s="251"/>
      <c r="C45" s="252"/>
      <c r="D45" s="252"/>
      <c r="E45" s="252"/>
      <c r="F45" s="252"/>
      <c r="G45" s="252"/>
      <c r="H45" s="252"/>
      <c r="I45" s="252"/>
      <c r="J45" s="252"/>
      <c r="K45" s="252"/>
      <c r="L45" s="252"/>
      <c r="M45" s="252"/>
      <c r="N45" s="252"/>
      <c r="O45" s="252"/>
      <c r="P45" s="252"/>
      <c r="Q45" s="252"/>
      <c r="R45" s="252"/>
      <c r="S45" s="252"/>
      <c r="T45" s="252"/>
      <c r="U45" s="252"/>
      <c r="V45" s="252"/>
      <c r="W45" s="252"/>
      <c r="X45" s="252"/>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53">
        <v>43346</v>
      </c>
      <c r="B48" s="254"/>
      <c r="C48" s="255"/>
      <c r="E48" s="37"/>
    </row>
    <row r="49" spans="1:8" s="21" customFormat="1" ht="12.75">
      <c r="A49" s="22"/>
      <c r="B49" s="22"/>
      <c r="F49" s="33"/>
      <c r="G49" s="34"/>
      <c r="H49" s="35"/>
    </row>
    <row r="50" spans="1:24" s="21" customFormat="1" ht="12.75">
      <c r="A50" s="251" t="s">
        <v>194</v>
      </c>
      <c r="B50" s="251"/>
      <c r="C50" s="252"/>
      <c r="D50" s="252"/>
      <c r="E50" s="252"/>
      <c r="F50" s="252"/>
      <c r="G50" s="252"/>
      <c r="H50" s="252"/>
      <c r="I50" s="252"/>
      <c r="J50" s="252"/>
      <c r="K50" s="252"/>
      <c r="L50" s="252"/>
      <c r="M50" s="252"/>
      <c r="N50" s="252"/>
      <c r="O50" s="252"/>
      <c r="P50" s="252"/>
      <c r="Q50" s="252"/>
      <c r="R50" s="252"/>
      <c r="S50" s="252"/>
      <c r="T50" s="252"/>
      <c r="U50" s="252"/>
      <c r="V50" s="252"/>
      <c r="W50" s="252"/>
      <c r="X50" s="252"/>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240</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76"/>
      <c r="C54" s="276"/>
      <c r="D54" s="276"/>
      <c r="E54" s="276"/>
      <c r="F54" s="33"/>
      <c r="G54" s="101" t="s">
        <v>140</v>
      </c>
      <c r="H54" s="276"/>
      <c r="I54" s="276"/>
      <c r="J54" s="276"/>
      <c r="K54" s="276"/>
      <c r="L54" s="2"/>
      <c r="M54"/>
      <c r="N54"/>
      <c r="O54"/>
      <c r="P54"/>
      <c r="Q54"/>
      <c r="R54"/>
      <c r="S54"/>
      <c r="T54"/>
      <c r="U54"/>
      <c r="V54"/>
      <c r="W54"/>
      <c r="X54"/>
    </row>
    <row r="55" spans="1:24" s="21" customFormat="1" ht="12.75">
      <c r="A55" s="101" t="str">
        <f>IF(OR(TipoOrçamento="BASE",TipoOrçamento="REPROGRAMADONPL"),"Título:","Cargo:")</f>
        <v>Cargo:</v>
      </c>
      <c r="B55" s="276"/>
      <c r="C55" s="276"/>
      <c r="D55" s="276"/>
      <c r="E55" s="276"/>
      <c r="F55" s="33"/>
      <c r="G55" s="101" t="str">
        <f>A55</f>
        <v>Cargo:</v>
      </c>
      <c r="H55" s="276"/>
      <c r="I55" s="276"/>
      <c r="J55" s="276"/>
      <c r="K55" s="276"/>
      <c r="L55" s="2"/>
      <c r="M55"/>
      <c r="N55"/>
      <c r="O55"/>
      <c r="P55"/>
      <c r="Q55"/>
      <c r="R55"/>
      <c r="S55"/>
      <c r="T55"/>
      <c r="U55"/>
      <c r="V55"/>
      <c r="W55"/>
      <c r="X55"/>
    </row>
    <row r="56" spans="1:24" s="21" customFormat="1" ht="12.75">
      <c r="A56" s="101" t="str">
        <f>IF(OR(TipoOrçamento="BASE",TipoOrçamento="REPROGRAMADONPL"),"CREA/CAU:","Empresa:")</f>
        <v>Empresa:</v>
      </c>
      <c r="B56" s="303"/>
      <c r="C56" s="256"/>
      <c r="D56" s="256"/>
      <c r="E56" s="256"/>
      <c r="F56" s="33"/>
      <c r="G56" s="101" t="str">
        <f>A56</f>
        <v>Empresa:</v>
      </c>
      <c r="H56" s="256"/>
      <c r="I56" s="256"/>
      <c r="J56" s="256"/>
      <c r="K56" s="256"/>
      <c r="L56" s="2"/>
      <c r="M56"/>
      <c r="N56"/>
      <c r="O56"/>
      <c r="P56"/>
      <c r="Q56"/>
      <c r="R56"/>
      <c r="S56"/>
      <c r="T56"/>
      <c r="U56"/>
      <c r="V56"/>
      <c r="W56"/>
      <c r="X56"/>
    </row>
    <row r="57" spans="1:24" s="21" customFormat="1" ht="12.75">
      <c r="A57" s="101" t="str">
        <f>IF(OR(TipoOrçamento="BASE",TipoOrçamento="REPROGRAMADONPL"),"ART/RRT:","CNPJ:")</f>
        <v>CNPJ:</v>
      </c>
      <c r="B57" s="256"/>
      <c r="C57" s="256"/>
      <c r="D57" s="256"/>
      <c r="E57" s="256"/>
      <c r="F57" s="33"/>
      <c r="G57" s="101" t="str">
        <f>A57</f>
        <v>CNPJ:</v>
      </c>
      <c r="H57" s="256"/>
      <c r="I57" s="256"/>
      <c r="J57" s="256"/>
      <c r="K57" s="256"/>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77" t="s">
        <v>195</v>
      </c>
      <c r="B60" s="277"/>
      <c r="C60" s="278"/>
      <c r="D60" s="278"/>
      <c r="E60" s="278"/>
      <c r="F60" s="278"/>
      <c r="G60" s="278"/>
      <c r="H60" s="278"/>
      <c r="I60" s="278"/>
      <c r="J60" s="278"/>
      <c r="K60" s="278"/>
      <c r="L60" s="278"/>
      <c r="M60" s="278"/>
      <c r="N60" s="278"/>
      <c r="O60" s="278"/>
      <c r="P60" s="278"/>
      <c r="Q60" s="278"/>
      <c r="R60" s="278"/>
      <c r="S60" s="278"/>
      <c r="T60" s="278"/>
      <c r="U60" s="278"/>
      <c r="V60" s="278"/>
      <c r="W60" s="278"/>
      <c r="X60" s="278"/>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79" t="s">
        <v>196</v>
      </c>
      <c r="B62" s="312"/>
      <c r="C62" s="313"/>
      <c r="D62" s="313"/>
      <c r="E62" s="313"/>
      <c r="F62" s="313"/>
      <c r="G62" s="313"/>
      <c r="H62" s="313"/>
      <c r="I62" s="313"/>
      <c r="J62" s="313"/>
      <c r="K62" s="313"/>
      <c r="L62" s="313"/>
      <c r="M62" s="313"/>
      <c r="N62" s="313"/>
      <c r="O62" s="313"/>
      <c r="P62" s="313"/>
      <c r="Q62" s="313"/>
      <c r="R62" s="313"/>
      <c r="S62" s="313"/>
      <c r="T62" s="313"/>
      <c r="U62" s="313"/>
      <c r="V62" s="313"/>
      <c r="W62" s="313"/>
      <c r="X62" s="313"/>
    </row>
    <row r="63" spans="1:24" s="21" customFormat="1" ht="30" customHeight="1">
      <c r="A63" s="279" t="s">
        <v>197</v>
      </c>
      <c r="B63" s="279"/>
      <c r="C63" s="280"/>
      <c r="D63" s="280"/>
      <c r="E63" s="280"/>
      <c r="F63" s="280"/>
      <c r="G63" s="280"/>
      <c r="H63" s="280"/>
      <c r="I63" s="280"/>
      <c r="J63" s="280"/>
      <c r="K63" s="280"/>
      <c r="L63" s="280"/>
      <c r="M63" s="280"/>
      <c r="N63" s="280"/>
      <c r="O63" s="280"/>
      <c r="P63" s="280"/>
      <c r="Q63" s="280"/>
      <c r="R63" s="280"/>
      <c r="S63" s="280"/>
      <c r="T63" s="280"/>
      <c r="U63" s="280"/>
      <c r="V63" s="280"/>
      <c r="W63" s="280"/>
      <c r="X63" s="280"/>
    </row>
    <row r="64" spans="1:24" s="21" customFormat="1" ht="12.75">
      <c r="A64" s="22"/>
      <c r="B64" s="22"/>
      <c r="F64" s="33"/>
      <c r="G64" s="34"/>
      <c r="H64" s="35"/>
      <c r="M64"/>
      <c r="N64"/>
      <c r="O64"/>
      <c r="P64"/>
      <c r="Q64"/>
      <c r="R64"/>
      <c r="S64"/>
      <c r="T64"/>
      <c r="U64"/>
      <c r="V64"/>
      <c r="W64"/>
      <c r="X64"/>
    </row>
    <row r="65" spans="1:24" s="21" customFormat="1" ht="12.75" customHeight="1">
      <c r="A65" s="277" t="s">
        <v>198</v>
      </c>
      <c r="B65" s="277"/>
      <c r="C65" s="278"/>
      <c r="D65" s="278"/>
      <c r="E65" s="278"/>
      <c r="F65" s="278"/>
      <c r="G65" s="278"/>
      <c r="H65" s="278"/>
      <c r="I65" s="278"/>
      <c r="J65" s="278"/>
      <c r="K65" s="278"/>
      <c r="L65" s="278"/>
      <c r="M65" s="278"/>
      <c r="N65" s="278"/>
      <c r="O65" s="278"/>
      <c r="P65" s="278"/>
      <c r="Q65" s="278"/>
      <c r="R65" s="278"/>
      <c r="S65" s="278"/>
      <c r="T65" s="278"/>
      <c r="U65" s="278"/>
      <c r="V65" s="278"/>
      <c r="W65" s="278"/>
      <c r="X65" s="278"/>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51" t="s">
        <v>199</v>
      </c>
      <c r="B67" s="251"/>
      <c r="C67" s="252"/>
      <c r="D67" s="252"/>
      <c r="E67" s="252"/>
      <c r="F67" s="252"/>
      <c r="G67" s="252"/>
      <c r="H67" s="252"/>
      <c r="I67" s="252"/>
      <c r="J67" s="252"/>
      <c r="K67" s="252"/>
      <c r="L67" s="252"/>
      <c r="M67" s="252"/>
      <c r="N67" s="252"/>
      <c r="O67" s="252"/>
      <c r="P67" s="252"/>
      <c r="Q67" s="252"/>
      <c r="R67" s="252"/>
      <c r="S67" s="252"/>
      <c r="T67" s="252"/>
      <c r="U67" s="252"/>
      <c r="V67" s="252"/>
      <c r="W67" s="252"/>
      <c r="X67" s="252"/>
    </row>
    <row r="68" spans="1:24" s="21" customFormat="1" ht="12.75">
      <c r="A68" s="251" t="s">
        <v>200</v>
      </c>
      <c r="B68" s="251"/>
      <c r="C68" s="252"/>
      <c r="D68" s="252"/>
      <c r="E68" s="252"/>
      <c r="F68" s="252"/>
      <c r="G68" s="252"/>
      <c r="H68" s="252"/>
      <c r="I68" s="252"/>
      <c r="J68" s="252"/>
      <c r="K68" s="252"/>
      <c r="L68" s="252"/>
      <c r="M68" s="252"/>
      <c r="N68" s="252"/>
      <c r="O68" s="252"/>
      <c r="P68" s="252"/>
      <c r="Q68" s="252"/>
      <c r="R68" s="252"/>
      <c r="S68" s="252"/>
      <c r="T68" s="252"/>
      <c r="U68" s="252"/>
      <c r="V68" s="252"/>
      <c r="W68" s="252"/>
      <c r="X68" s="252"/>
    </row>
    <row r="69" spans="1:24" s="21" customFormat="1" ht="12.75" customHeight="1">
      <c r="A69" s="251" t="s">
        <v>201</v>
      </c>
      <c r="B69" s="251"/>
      <c r="C69" s="252"/>
      <c r="D69" s="252"/>
      <c r="E69" s="252"/>
      <c r="F69" s="252"/>
      <c r="G69" s="252"/>
      <c r="H69" s="252"/>
      <c r="I69" s="252"/>
      <c r="J69" s="252"/>
      <c r="K69" s="252"/>
      <c r="L69" s="252"/>
      <c r="M69" s="252"/>
      <c r="N69" s="252"/>
      <c r="O69" s="252"/>
      <c r="P69" s="252"/>
      <c r="Q69" s="252"/>
      <c r="R69" s="252"/>
      <c r="S69" s="252"/>
      <c r="T69" s="252"/>
      <c r="U69" s="252"/>
      <c r="V69" s="252"/>
      <c r="W69" s="252"/>
      <c r="X69" s="252"/>
    </row>
    <row r="70" spans="1:24" s="21" customFormat="1" ht="12.75" customHeight="1">
      <c r="A70" s="251" t="s">
        <v>202</v>
      </c>
      <c r="B70" s="251"/>
      <c r="C70" s="252"/>
      <c r="D70" s="252"/>
      <c r="E70" s="252"/>
      <c r="F70" s="252"/>
      <c r="G70" s="252"/>
      <c r="H70" s="252"/>
      <c r="I70" s="252"/>
      <c r="J70" s="252"/>
      <c r="K70" s="252"/>
      <c r="L70" s="252"/>
      <c r="M70" s="252"/>
      <c r="N70" s="252"/>
      <c r="O70" s="252"/>
      <c r="P70" s="252"/>
      <c r="Q70" s="252"/>
      <c r="R70" s="252"/>
      <c r="S70" s="252"/>
      <c r="T70" s="252"/>
      <c r="U70" s="252"/>
      <c r="V70" s="252"/>
      <c r="W70" s="252"/>
      <c r="X70" s="252"/>
    </row>
    <row r="71" spans="1:24" s="21" customFormat="1" ht="12.75" customHeight="1">
      <c r="A71" s="251" t="s">
        <v>203</v>
      </c>
      <c r="B71" s="251"/>
      <c r="C71" s="252"/>
      <c r="D71" s="252"/>
      <c r="E71" s="252"/>
      <c r="F71" s="252"/>
      <c r="G71" s="252"/>
      <c r="H71" s="252"/>
      <c r="I71" s="252"/>
      <c r="J71" s="252"/>
      <c r="K71" s="252"/>
      <c r="L71" s="252"/>
      <c r="M71" s="252"/>
      <c r="N71" s="252"/>
      <c r="O71" s="252"/>
      <c r="P71" s="252"/>
      <c r="Q71" s="252"/>
      <c r="R71" s="252"/>
      <c r="S71" s="252"/>
      <c r="T71" s="252"/>
      <c r="U71" s="252"/>
      <c r="V71" s="252"/>
      <c r="W71" s="252"/>
      <c r="X71" s="252"/>
    </row>
    <row r="72" spans="1:24" s="21" customFormat="1" ht="12.75" customHeight="1">
      <c r="A72" s="251" t="s">
        <v>204</v>
      </c>
      <c r="B72" s="251"/>
      <c r="C72" s="252"/>
      <c r="D72" s="252"/>
      <c r="E72" s="252"/>
      <c r="F72" s="252"/>
      <c r="G72" s="252"/>
      <c r="H72" s="252"/>
      <c r="I72" s="252"/>
      <c r="J72" s="252"/>
      <c r="K72" s="252"/>
      <c r="L72" s="252"/>
      <c r="M72" s="252"/>
      <c r="N72" s="252"/>
      <c r="O72" s="252"/>
      <c r="P72" s="252"/>
      <c r="Q72" s="252"/>
      <c r="R72" s="252"/>
      <c r="S72" s="252"/>
      <c r="T72" s="252"/>
      <c r="U72" s="252"/>
      <c r="V72" s="252"/>
      <c r="W72" s="252"/>
      <c r="X72" s="252"/>
    </row>
    <row r="73" spans="1:8" s="21" customFormat="1" ht="12.75">
      <c r="A73" s="22"/>
      <c r="B73" s="22"/>
      <c r="F73" s="33"/>
      <c r="G73" s="34"/>
      <c r="H73" s="35"/>
    </row>
    <row r="74" spans="1:24" s="21" customFormat="1" ht="12.75" customHeight="1">
      <c r="A74" s="277" t="s">
        <v>205</v>
      </c>
      <c r="B74" s="277"/>
      <c r="C74" s="278"/>
      <c r="D74" s="278"/>
      <c r="E74" s="278"/>
      <c r="F74" s="278"/>
      <c r="G74" s="278"/>
      <c r="H74" s="278"/>
      <c r="I74" s="278"/>
      <c r="J74" s="278"/>
      <c r="K74" s="278"/>
      <c r="L74" s="278"/>
      <c r="M74" s="278"/>
      <c r="N74" s="278"/>
      <c r="O74" s="278"/>
      <c r="P74" s="278"/>
      <c r="Q74" s="278"/>
      <c r="R74" s="278"/>
      <c r="S74" s="278"/>
      <c r="T74" s="278"/>
      <c r="U74" s="278"/>
      <c r="V74" s="278"/>
      <c r="W74" s="278"/>
      <c r="X74" s="278"/>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51" t="s">
        <v>206</v>
      </c>
      <c r="B76" s="251"/>
      <c r="C76" s="252"/>
      <c r="D76" s="252"/>
      <c r="E76" s="252"/>
      <c r="F76" s="252"/>
      <c r="G76" s="252"/>
      <c r="H76" s="252"/>
      <c r="I76" s="252"/>
      <c r="J76" s="252"/>
      <c r="K76" s="252"/>
      <c r="L76" s="252"/>
      <c r="M76" s="252"/>
      <c r="N76" s="252"/>
      <c r="O76" s="252"/>
      <c r="P76" s="252"/>
      <c r="Q76" s="252"/>
      <c r="R76" s="252"/>
      <c r="S76" s="252"/>
      <c r="T76" s="252"/>
      <c r="U76" s="252"/>
      <c r="V76" s="252"/>
      <c r="W76" s="252"/>
      <c r="X76" s="252"/>
    </row>
    <row r="77" spans="1:24" s="21" customFormat="1" ht="25.5" customHeight="1">
      <c r="A77" s="288" t="s">
        <v>207</v>
      </c>
      <c r="B77" s="288"/>
      <c r="C77" s="289"/>
      <c r="D77" s="289"/>
      <c r="E77" s="289"/>
      <c r="F77" s="289"/>
      <c r="G77" s="289"/>
      <c r="H77" s="289"/>
      <c r="I77" s="289"/>
      <c r="J77" s="289"/>
      <c r="K77" s="289"/>
      <c r="L77" s="289"/>
      <c r="M77" s="289"/>
      <c r="N77" s="289"/>
      <c r="O77" s="289"/>
      <c r="P77" s="289"/>
      <c r="Q77" s="289"/>
      <c r="R77" s="289"/>
      <c r="S77" s="289"/>
      <c r="T77" s="289"/>
      <c r="U77" s="289"/>
      <c r="V77" s="289"/>
      <c r="W77" s="289"/>
      <c r="X77" s="289"/>
    </row>
    <row r="78" spans="1:24" s="21" customFormat="1" ht="12.75" customHeight="1">
      <c r="A78" s="251" t="s">
        <v>208</v>
      </c>
      <c r="B78" s="251"/>
      <c r="C78" s="252"/>
      <c r="D78" s="252"/>
      <c r="E78" s="252"/>
      <c r="F78" s="252"/>
      <c r="G78" s="252"/>
      <c r="H78" s="252"/>
      <c r="I78" s="252"/>
      <c r="J78" s="252"/>
      <c r="K78" s="252"/>
      <c r="L78" s="252"/>
      <c r="M78" s="252"/>
      <c r="N78" s="252"/>
      <c r="O78" s="252"/>
      <c r="P78" s="252"/>
      <c r="Q78" s="252"/>
      <c r="R78" s="252"/>
      <c r="S78" s="252"/>
      <c r="T78" s="252"/>
      <c r="U78" s="252"/>
      <c r="V78" s="252"/>
      <c r="W78" s="252"/>
      <c r="X78" s="252"/>
    </row>
    <row r="79" spans="1:24" s="21" customFormat="1" ht="25.5" customHeight="1">
      <c r="A79" s="251" t="s">
        <v>209</v>
      </c>
      <c r="B79" s="251"/>
      <c r="C79" s="252"/>
      <c r="D79" s="252"/>
      <c r="E79" s="252"/>
      <c r="F79" s="252"/>
      <c r="G79" s="252"/>
      <c r="H79" s="252"/>
      <c r="I79" s="252"/>
      <c r="J79" s="252"/>
      <c r="K79" s="252"/>
      <c r="L79" s="252"/>
      <c r="M79" s="252"/>
      <c r="N79" s="252"/>
      <c r="O79" s="252"/>
      <c r="P79" s="252"/>
      <c r="Q79" s="252"/>
      <c r="R79" s="252"/>
      <c r="S79" s="252"/>
      <c r="T79" s="252"/>
      <c r="U79" s="252"/>
      <c r="V79" s="252"/>
      <c r="W79" s="252"/>
      <c r="X79" s="252"/>
    </row>
    <row r="80" spans="1:24" s="21" customFormat="1" ht="12.75">
      <c r="A80" s="288" t="s">
        <v>210</v>
      </c>
      <c r="B80" s="288"/>
      <c r="C80" s="289"/>
      <c r="D80" s="289"/>
      <c r="E80" s="289"/>
      <c r="F80" s="289"/>
      <c r="G80" s="289"/>
      <c r="H80" s="289"/>
      <c r="I80" s="289"/>
      <c r="J80" s="289"/>
      <c r="K80" s="289"/>
      <c r="L80" s="289"/>
      <c r="M80" s="289"/>
      <c r="N80" s="289"/>
      <c r="O80" s="289"/>
      <c r="P80" s="289"/>
      <c r="Q80" s="289"/>
      <c r="R80" s="289"/>
      <c r="S80" s="289"/>
      <c r="T80" s="289"/>
      <c r="U80" s="289"/>
      <c r="V80" s="289"/>
      <c r="W80" s="289"/>
      <c r="X80" s="289"/>
    </row>
    <row r="81" spans="1:24" ht="12.75" customHeight="1">
      <c r="A81" s="251" t="s">
        <v>211</v>
      </c>
      <c r="B81" s="251"/>
      <c r="C81" s="252"/>
      <c r="D81" s="252"/>
      <c r="E81" s="252"/>
      <c r="F81" s="252"/>
      <c r="G81" s="252"/>
      <c r="H81" s="252"/>
      <c r="I81" s="252"/>
      <c r="J81" s="252"/>
      <c r="K81" s="252"/>
      <c r="L81" s="252"/>
      <c r="M81" s="252"/>
      <c r="N81" s="252"/>
      <c r="O81" s="252"/>
      <c r="P81" s="252"/>
      <c r="Q81" s="252"/>
      <c r="R81" s="252"/>
      <c r="S81" s="252"/>
      <c r="T81" s="252"/>
      <c r="U81" s="252"/>
      <c r="V81" s="252"/>
      <c r="W81" s="252"/>
      <c r="X81" s="252"/>
    </row>
    <row r="82" spans="1:24" ht="25.5" customHeight="1">
      <c r="A82" s="251" t="s">
        <v>212</v>
      </c>
      <c r="B82" s="251"/>
      <c r="C82" s="252"/>
      <c r="D82" s="252"/>
      <c r="E82" s="252"/>
      <c r="F82" s="252"/>
      <c r="G82" s="252"/>
      <c r="H82" s="252"/>
      <c r="I82" s="252"/>
      <c r="J82" s="252"/>
      <c r="K82" s="252"/>
      <c r="L82" s="252"/>
      <c r="M82" s="252"/>
      <c r="N82" s="252"/>
      <c r="O82" s="252"/>
      <c r="P82" s="252"/>
      <c r="Q82" s="252"/>
      <c r="R82" s="252"/>
      <c r="S82" s="252"/>
      <c r="T82" s="252"/>
      <c r="U82" s="252"/>
      <c r="V82" s="252"/>
      <c r="W82" s="252"/>
      <c r="X82" s="252"/>
    </row>
    <row r="83" spans="1:24" s="21" customFormat="1" ht="25.5" customHeight="1">
      <c r="A83" s="251" t="s">
        <v>213</v>
      </c>
      <c r="B83" s="251"/>
      <c r="C83" s="252"/>
      <c r="D83" s="252"/>
      <c r="E83" s="252"/>
      <c r="F83" s="252"/>
      <c r="G83" s="252"/>
      <c r="H83" s="252"/>
      <c r="I83" s="252"/>
      <c r="J83" s="252"/>
      <c r="K83" s="252"/>
      <c r="L83" s="252"/>
      <c r="M83" s="252"/>
      <c r="N83" s="252"/>
      <c r="O83" s="252"/>
      <c r="P83" s="252"/>
      <c r="Q83" s="252"/>
      <c r="R83" s="252"/>
      <c r="S83" s="252"/>
      <c r="T83" s="252"/>
      <c r="U83" s="252"/>
      <c r="V83" s="252"/>
      <c r="W83" s="252"/>
      <c r="X83" s="252"/>
    </row>
    <row r="84" spans="1:24" s="21" customFormat="1" ht="12.75" customHeight="1">
      <c r="A84" s="251" t="s">
        <v>214</v>
      </c>
      <c r="B84" s="251"/>
      <c r="C84" s="252"/>
      <c r="D84" s="252"/>
      <c r="E84" s="252"/>
      <c r="F84" s="252"/>
      <c r="G84" s="252"/>
      <c r="H84" s="252"/>
      <c r="I84" s="252"/>
      <c r="J84" s="252"/>
      <c r="K84" s="252"/>
      <c r="L84" s="252"/>
      <c r="M84" s="252"/>
      <c r="N84" s="252"/>
      <c r="O84" s="252"/>
      <c r="P84" s="252"/>
      <c r="Q84" s="252"/>
      <c r="R84" s="252"/>
      <c r="S84" s="252"/>
      <c r="T84" s="252"/>
      <c r="U84" s="252"/>
      <c r="V84" s="252"/>
      <c r="W84" s="252"/>
      <c r="X84" s="252"/>
    </row>
    <row r="85" spans="1:24" s="21" customFormat="1" ht="12.75">
      <c r="A85" s="251" t="s">
        <v>215</v>
      </c>
      <c r="B85" s="251"/>
      <c r="C85" s="252"/>
      <c r="D85" s="252"/>
      <c r="E85" s="252"/>
      <c r="F85" s="252"/>
      <c r="G85" s="252"/>
      <c r="H85" s="252"/>
      <c r="I85" s="252"/>
      <c r="J85" s="252"/>
      <c r="K85" s="252"/>
      <c r="L85" s="252"/>
      <c r="M85" s="252"/>
      <c r="N85" s="252"/>
      <c r="O85" s="252"/>
      <c r="P85" s="252"/>
      <c r="Q85" s="252"/>
      <c r="R85" s="252"/>
      <c r="S85" s="252"/>
      <c r="T85" s="252"/>
      <c r="U85" s="252"/>
      <c r="V85" s="252"/>
      <c r="W85" s="252"/>
      <c r="X85" s="252"/>
    </row>
    <row r="86" spans="1:24" ht="12.75" customHeight="1">
      <c r="A86" s="288" t="s">
        <v>216</v>
      </c>
      <c r="B86" s="288"/>
      <c r="C86" s="289"/>
      <c r="D86" s="289"/>
      <c r="E86" s="289"/>
      <c r="F86" s="289"/>
      <c r="G86" s="289"/>
      <c r="H86" s="289"/>
      <c r="I86" s="289"/>
      <c r="J86" s="289"/>
      <c r="K86" s="289"/>
      <c r="L86" s="289"/>
      <c r="M86" s="289"/>
      <c r="N86" s="289"/>
      <c r="O86" s="289"/>
      <c r="P86" s="289"/>
      <c r="Q86" s="289"/>
      <c r="R86" s="289"/>
      <c r="S86" s="289"/>
      <c r="T86" s="289"/>
      <c r="U86" s="289"/>
      <c r="V86" s="289"/>
      <c r="W86" s="289"/>
      <c r="X86" s="289"/>
    </row>
    <row r="87" spans="1:24" ht="12.75">
      <c r="A87" s="251" t="s">
        <v>217</v>
      </c>
      <c r="B87" s="251"/>
      <c r="C87" s="252"/>
      <c r="D87" s="252"/>
      <c r="E87" s="252"/>
      <c r="F87" s="252"/>
      <c r="G87" s="252"/>
      <c r="H87" s="252"/>
      <c r="I87" s="252"/>
      <c r="J87" s="252"/>
      <c r="K87" s="252"/>
      <c r="L87" s="252"/>
      <c r="M87" s="252"/>
      <c r="N87" s="252"/>
      <c r="O87" s="252"/>
      <c r="P87" s="252"/>
      <c r="Q87" s="252"/>
      <c r="R87" s="252"/>
      <c r="S87" s="252"/>
      <c r="T87" s="252"/>
      <c r="U87" s="252"/>
      <c r="V87" s="252"/>
      <c r="W87" s="252"/>
      <c r="X87" s="252"/>
    </row>
    <row r="88" spans="1:24" ht="12.75">
      <c r="A88" s="251" t="s">
        <v>218</v>
      </c>
      <c r="B88" s="251"/>
      <c r="C88" s="252"/>
      <c r="D88" s="252"/>
      <c r="E88" s="252"/>
      <c r="F88" s="252"/>
      <c r="G88" s="252"/>
      <c r="H88" s="252"/>
      <c r="I88" s="252"/>
      <c r="J88" s="252"/>
      <c r="K88" s="252"/>
      <c r="L88" s="252"/>
      <c r="M88" s="252"/>
      <c r="N88" s="252"/>
      <c r="O88" s="252"/>
      <c r="P88" s="252"/>
      <c r="Q88" s="252"/>
      <c r="R88" s="252"/>
      <c r="S88" s="252"/>
      <c r="T88" s="252"/>
      <c r="U88" s="252"/>
      <c r="V88" s="252"/>
      <c r="W88" s="252"/>
      <c r="X88" s="252"/>
    </row>
    <row r="90" spans="1:24" ht="12.75">
      <c r="A90" s="277" t="s">
        <v>219</v>
      </c>
      <c r="B90" s="277"/>
      <c r="C90" s="278"/>
      <c r="D90" s="278"/>
      <c r="E90" s="278"/>
      <c r="F90" s="278"/>
      <c r="G90" s="278"/>
      <c r="H90" s="278"/>
      <c r="I90" s="278"/>
      <c r="J90" s="278"/>
      <c r="K90" s="278"/>
      <c r="L90" s="278"/>
      <c r="M90" s="278"/>
      <c r="N90" s="278"/>
      <c r="O90" s="278"/>
      <c r="P90" s="278"/>
      <c r="Q90" s="278"/>
      <c r="R90" s="278"/>
      <c r="S90" s="278"/>
      <c r="T90" s="278"/>
      <c r="U90" s="278"/>
      <c r="V90" s="278"/>
      <c r="W90" s="278"/>
      <c r="X90" s="278"/>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51" t="s">
        <v>220</v>
      </c>
      <c r="B92" s="251"/>
      <c r="C92" s="252"/>
      <c r="D92" s="252"/>
      <c r="E92" s="252"/>
      <c r="F92" s="252"/>
      <c r="G92" s="252"/>
      <c r="H92" s="252"/>
      <c r="I92" s="252"/>
      <c r="J92" s="252"/>
      <c r="K92" s="252"/>
      <c r="L92" s="252"/>
      <c r="M92" s="252"/>
      <c r="N92" s="252"/>
      <c r="O92" s="252"/>
      <c r="P92" s="252"/>
      <c r="Q92" s="252"/>
      <c r="R92" s="252"/>
      <c r="S92" s="252"/>
      <c r="T92" s="252"/>
      <c r="U92" s="252"/>
      <c r="V92" s="252"/>
      <c r="W92" s="252"/>
      <c r="X92" s="252"/>
    </row>
    <row r="93" spans="1:24" ht="12.75" customHeight="1">
      <c r="A93" s="288" t="s">
        <v>221</v>
      </c>
      <c r="B93" s="288"/>
      <c r="C93" s="289"/>
      <c r="D93" s="289"/>
      <c r="E93" s="289"/>
      <c r="F93" s="289"/>
      <c r="G93" s="289"/>
      <c r="H93" s="289"/>
      <c r="I93" s="289"/>
      <c r="J93" s="289"/>
      <c r="K93" s="289"/>
      <c r="L93" s="289"/>
      <c r="M93" s="289"/>
      <c r="N93" s="289"/>
      <c r="O93" s="289"/>
      <c r="P93" s="289"/>
      <c r="Q93" s="289"/>
      <c r="R93" s="289"/>
      <c r="S93" s="289"/>
      <c r="T93" s="289"/>
      <c r="U93" s="289"/>
      <c r="V93" s="289"/>
      <c r="W93" s="289"/>
      <c r="X93" s="289"/>
    </row>
    <row r="94" spans="1:24" ht="12.75" customHeight="1">
      <c r="A94" s="251" t="s">
        <v>222</v>
      </c>
      <c r="B94" s="251"/>
      <c r="C94" s="252"/>
      <c r="D94" s="252"/>
      <c r="E94" s="252"/>
      <c r="F94" s="252"/>
      <c r="G94" s="252"/>
      <c r="H94" s="252"/>
      <c r="I94" s="252"/>
      <c r="J94" s="252"/>
      <c r="K94" s="252"/>
      <c r="L94" s="252"/>
      <c r="M94" s="252"/>
      <c r="N94" s="252"/>
      <c r="O94" s="252"/>
      <c r="P94" s="252"/>
      <c r="Q94" s="252"/>
      <c r="R94" s="252"/>
      <c r="S94" s="252"/>
      <c r="T94" s="252"/>
      <c r="U94" s="252"/>
      <c r="V94" s="252"/>
      <c r="W94" s="252"/>
      <c r="X94" s="252"/>
    </row>
    <row r="95" spans="1:24" ht="12.75">
      <c r="A95" s="251" t="s">
        <v>223</v>
      </c>
      <c r="B95" s="251"/>
      <c r="C95" s="252"/>
      <c r="D95" s="252"/>
      <c r="E95" s="252"/>
      <c r="F95" s="252"/>
      <c r="G95" s="252"/>
      <c r="H95" s="252"/>
      <c r="I95" s="252"/>
      <c r="J95" s="252"/>
      <c r="K95" s="252"/>
      <c r="L95" s="252"/>
      <c r="M95" s="252"/>
      <c r="N95" s="252"/>
      <c r="O95" s="252"/>
      <c r="P95" s="252"/>
      <c r="Q95" s="252"/>
      <c r="R95" s="252"/>
      <c r="S95" s="252"/>
      <c r="T95" s="252"/>
      <c r="U95" s="252"/>
      <c r="V95" s="252"/>
      <c r="W95" s="252"/>
      <c r="X95" s="252"/>
    </row>
    <row r="96" spans="1:24" ht="12.75" customHeight="1">
      <c r="A96" s="288"/>
      <c r="B96" s="288"/>
      <c r="C96" s="289"/>
      <c r="D96" s="289"/>
      <c r="E96" s="289"/>
      <c r="F96" s="289"/>
      <c r="G96" s="289"/>
      <c r="H96" s="289"/>
      <c r="I96" s="289"/>
      <c r="J96" s="289"/>
      <c r="K96" s="289"/>
      <c r="L96" s="289"/>
      <c r="M96" s="289"/>
      <c r="N96" s="289"/>
      <c r="O96" s="289"/>
      <c r="P96" s="289"/>
      <c r="Q96" s="289"/>
      <c r="R96" s="289"/>
      <c r="S96" s="289"/>
      <c r="T96" s="289"/>
      <c r="U96" s="289"/>
      <c r="V96" s="289"/>
      <c r="W96" s="289"/>
      <c r="X96" s="289"/>
    </row>
    <row r="97" spans="1:24" ht="12.75">
      <c r="A97" s="277" t="s">
        <v>224</v>
      </c>
      <c r="B97" s="277"/>
      <c r="C97" s="278"/>
      <c r="D97" s="278"/>
      <c r="E97" s="278"/>
      <c r="F97" s="278"/>
      <c r="G97" s="278"/>
      <c r="H97" s="278"/>
      <c r="I97" s="278"/>
      <c r="J97" s="278"/>
      <c r="K97" s="278"/>
      <c r="L97" s="278"/>
      <c r="M97" s="278"/>
      <c r="N97" s="278"/>
      <c r="O97" s="278"/>
      <c r="P97" s="278"/>
      <c r="Q97" s="278"/>
      <c r="R97" s="278"/>
      <c r="S97" s="278"/>
      <c r="T97" s="278"/>
      <c r="U97" s="278"/>
      <c r="V97" s="278"/>
      <c r="W97" s="278"/>
      <c r="X97" s="278"/>
    </row>
    <row r="98" spans="1:24" ht="12.75" customHeight="1">
      <c r="A98" s="288"/>
      <c r="B98" s="288"/>
      <c r="C98" s="289"/>
      <c r="D98" s="289"/>
      <c r="E98" s="289"/>
      <c r="F98" s="289"/>
      <c r="G98" s="289"/>
      <c r="H98" s="289"/>
      <c r="I98" s="289"/>
      <c r="J98" s="289"/>
      <c r="K98" s="289"/>
      <c r="L98" s="289"/>
      <c r="M98" s="289"/>
      <c r="N98" s="289"/>
      <c r="O98" s="289"/>
      <c r="P98" s="289"/>
      <c r="Q98" s="289"/>
      <c r="R98" s="289"/>
      <c r="S98" s="289"/>
      <c r="T98" s="289"/>
      <c r="U98" s="289"/>
      <c r="V98" s="289"/>
      <c r="W98" s="289"/>
      <c r="X98" s="289"/>
    </row>
    <row r="99" spans="1:24" ht="12.75" customHeight="1">
      <c r="A99" s="251" t="s">
        <v>225</v>
      </c>
      <c r="B99" s="251"/>
      <c r="C99" s="252"/>
      <c r="D99" s="252"/>
      <c r="E99" s="252"/>
      <c r="F99" s="252"/>
      <c r="G99" s="252"/>
      <c r="H99" s="252"/>
      <c r="I99" s="252"/>
      <c r="J99" s="252"/>
      <c r="K99" s="252"/>
      <c r="L99" s="252"/>
      <c r="M99" s="252"/>
      <c r="N99" s="252"/>
      <c r="O99" s="252"/>
      <c r="P99" s="252"/>
      <c r="Q99" s="252"/>
      <c r="R99" s="252"/>
      <c r="S99" s="252"/>
      <c r="T99" s="252"/>
      <c r="U99" s="252"/>
      <c r="V99" s="252"/>
      <c r="W99" s="252"/>
      <c r="X99" s="252"/>
    </row>
    <row r="100" spans="1:24" ht="12.75" customHeight="1">
      <c r="A100" s="251" t="s">
        <v>226</v>
      </c>
      <c r="B100" s="251"/>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row>
    <row r="101" spans="1:24" ht="12.75">
      <c r="A101" s="251" t="s">
        <v>227</v>
      </c>
      <c r="B101" s="251"/>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T38</f>
        <v>0.3052</v>
      </c>
    </row>
    <row r="109" spans="1:19" ht="12.75">
      <c r="A109"/>
      <c r="E109"/>
      <c r="F109"/>
      <c r="G109" s="31"/>
      <c r="H109" s="31"/>
      <c r="L109" s="82" t="s">
        <v>133</v>
      </c>
      <c r="P109" s="31"/>
      <c r="S109" s="208">
        <f>U38</f>
        <v>0.2272</v>
      </c>
    </row>
    <row r="110" spans="1:19" ht="12.75" customHeight="1">
      <c r="A110"/>
      <c r="E110"/>
      <c r="F110"/>
      <c r="G110" s="31"/>
      <c r="H110" s="31"/>
      <c r="L110" s="82" t="s">
        <v>134</v>
      </c>
      <c r="P110" s="31"/>
      <c r="S110" s="208">
        <f>V38</f>
      </c>
    </row>
    <row r="111" spans="1:19" ht="12.75">
      <c r="A111"/>
      <c r="E111"/>
      <c r="F111"/>
      <c r="G111" s="31"/>
      <c r="H111" s="31"/>
      <c r="L111" s="82" t="s">
        <v>135</v>
      </c>
      <c r="P111" s="31"/>
      <c r="S111" s="208">
        <f>W38</f>
      </c>
    </row>
    <row r="112" spans="1:19" ht="12.75" customHeight="1">
      <c r="A112"/>
      <c r="E112"/>
      <c r="F112"/>
      <c r="G112" s="31"/>
      <c r="H112" s="31"/>
      <c r="L112" s="82" t="s">
        <v>136</v>
      </c>
      <c r="P112" s="31"/>
      <c r="S112" s="208">
        <f>X38</f>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48" t="str">
        <f>A28</f>
        <v>Nº OPERAÇÃO</v>
      </c>
      <c r="B220" s="250"/>
      <c r="C220" s="248" t="str">
        <f>C28</f>
        <v>GESTOR</v>
      </c>
      <c r="D220" s="249"/>
      <c r="E220" s="250"/>
      <c r="F220" s="248" t="str">
        <f>F28</f>
        <v>PROGRAMA</v>
      </c>
      <c r="G220" s="249"/>
      <c r="H220" s="249"/>
      <c r="I220" s="250"/>
      <c r="J220" s="248" t="str">
        <f>J28</f>
        <v>AÇÃO / MODALIDADE</v>
      </c>
      <c r="K220" s="249"/>
      <c r="L220" s="249"/>
      <c r="M220" s="249"/>
      <c r="N220" s="249"/>
      <c r="O220" s="250"/>
      <c r="P220" s="248" t="str">
        <f>P28</f>
        <v>OBJETO</v>
      </c>
      <c r="Q220" s="249"/>
      <c r="R220" s="249"/>
      <c r="S220" s="249"/>
      <c r="T220" s="249"/>
      <c r="U220" s="249"/>
      <c r="V220" s="249"/>
      <c r="W220" s="249"/>
      <c r="X220" s="250"/>
    </row>
    <row r="221" spans="1:24" ht="12.75" customHeight="1">
      <c r="A221" s="245">
        <f>IF(A29="","",A29)</f>
      </c>
      <c r="B221" s="247"/>
      <c r="C221" s="245">
        <f>IF(C29="","",C29)</f>
      </c>
      <c r="D221" s="246"/>
      <c r="E221" s="247"/>
      <c r="F221" s="245">
        <f>IF(F29="","",F29)</f>
      </c>
      <c r="G221" s="246"/>
      <c r="H221" s="246"/>
      <c r="I221" s="247"/>
      <c r="J221" s="245">
        <f>IF(J29="","",J29)</f>
      </c>
      <c r="K221" s="246"/>
      <c r="L221" s="246" t="e">
        <f>IF(#REF!="","",#REF!)</f>
        <v>#REF!</v>
      </c>
      <c r="M221" s="246"/>
      <c r="N221" s="246" t="e">
        <f>IF(#REF!="","",#REF!)</f>
        <v>#REF!</v>
      </c>
      <c r="O221" s="247"/>
      <c r="P221" s="245" t="str">
        <f>IF(P29="","",P29)</f>
        <v>PAVIMENTAÇÃO  DE DIVERSAS VIAS NO MUNICÍPIO DE CANDIOTA</v>
      </c>
      <c r="Q221" s="246"/>
      <c r="R221" s="246"/>
      <c r="S221" s="246"/>
      <c r="T221" s="246"/>
      <c r="U221" s="246"/>
      <c r="V221" s="246"/>
      <c r="W221" s="246"/>
      <c r="X221" s="247"/>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48" t="str">
        <f>A31</f>
        <v>PROPONENTE / TOMADOR</v>
      </c>
      <c r="B223" s="249"/>
      <c r="C223" s="249"/>
      <c r="D223" s="249"/>
      <c r="E223" s="249"/>
      <c r="F223" s="249"/>
      <c r="G223" s="248" t="str">
        <f>G31</f>
        <v>MUNICÍPIO / UF</v>
      </c>
      <c r="H223" s="249"/>
      <c r="I223" s="249"/>
      <c r="J223" s="250"/>
      <c r="K223" s="248" t="str">
        <f>K31</f>
        <v>LOCALIDADE / ENDEREÇO</v>
      </c>
      <c r="L223" s="249"/>
      <c r="M223" s="249"/>
      <c r="N223" s="249"/>
      <c r="O223" s="249"/>
      <c r="P223" s="250"/>
      <c r="Q223" s="248" t="str">
        <f>Q31</f>
        <v>APELIDO DO EMPREENDIMENTO</v>
      </c>
      <c r="R223" s="249"/>
      <c r="S223" s="249"/>
      <c r="T223" s="249"/>
      <c r="U223" s="249"/>
      <c r="V223" s="249"/>
      <c r="W223" s="249"/>
      <c r="X223" s="250"/>
    </row>
    <row r="224" spans="1:24" ht="12.75" customHeight="1">
      <c r="A224" s="270" t="str">
        <f>IF(A32="","",A32)</f>
        <v>PREFEITURA MUNICIPAL DE CANDIOTA</v>
      </c>
      <c r="B224" s="271"/>
      <c r="C224" s="271"/>
      <c r="D224" s="271"/>
      <c r="E224" s="271"/>
      <c r="F224" s="271"/>
      <c r="G224" s="245" t="str">
        <f>IF(G32="","",G32)</f>
        <v>CANDIOTA/RS</v>
      </c>
      <c r="H224" s="246">
        <f>IF(I32="","",I32)</f>
      </c>
      <c r="I224" s="246"/>
      <c r="J224" s="247" t="e">
        <f>IF(#REF!="","",#REF!)</f>
        <v>#REF!</v>
      </c>
      <c r="K224" s="245" t="str">
        <f>IF(K32="","",K32)</f>
        <v>VILA DO SEIVAL</v>
      </c>
      <c r="L224" s="246"/>
      <c r="M224" s="246"/>
      <c r="N224" s="246"/>
      <c r="O224" s="246"/>
      <c r="P224" s="247"/>
      <c r="Q224" s="245" t="str">
        <f>IF(Q32="","",Q32)</f>
        <v>PAVIMENTAÇÃO  DA AVENIDA JOSÉ DE ABREU</v>
      </c>
      <c r="R224" s="246"/>
      <c r="S224" s="246"/>
      <c r="T224" s="246"/>
      <c r="U224" s="246"/>
      <c r="V224" s="246"/>
      <c r="W224" s="246"/>
      <c r="X224" s="247"/>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48" t="str">
        <f>A37</f>
        <v>DATA BASE</v>
      </c>
      <c r="B226" s="250"/>
      <c r="C226" s="135" t="str">
        <f>C37</f>
        <v>DESON.</v>
      </c>
      <c r="D226" s="248" t="str">
        <f>D37</f>
        <v>LOCALIDADE DO SINAPI</v>
      </c>
      <c r="E226" s="249"/>
      <c r="F226" s="250"/>
      <c r="G226" s="248" t="str">
        <f>G37</f>
        <v>DESCRIÇÃO DO LOTE</v>
      </c>
      <c r="H226" s="249"/>
      <c r="I226" s="249"/>
      <c r="J226" s="249"/>
      <c r="K226" s="249"/>
      <c r="L226" s="249"/>
      <c r="M226" s="249"/>
      <c r="N226" s="249"/>
      <c r="O226" s="249"/>
      <c r="P226" s="249"/>
      <c r="Q226" s="249"/>
      <c r="R226" s="249"/>
      <c r="S226" s="250"/>
      <c r="T226" s="136" t="str">
        <f>T37</f>
        <v>BDI 1</v>
      </c>
      <c r="U226" s="136" t="str">
        <f>U37</f>
        <v>BDI 2</v>
      </c>
      <c r="V226" s="136" t="str">
        <f>V37</f>
        <v>BDI 3</v>
      </c>
      <c r="W226" s="136" t="str">
        <f>W37</f>
        <v>BDI 4</v>
      </c>
      <c r="X226" s="136" t="str">
        <f>X37</f>
        <v>BDI 5</v>
      </c>
    </row>
    <row r="227" spans="1:24" ht="12.75" customHeight="1" hidden="1">
      <c r="A227" s="274">
        <f>IF(A38="","",A38)</f>
        <v>43252</v>
      </c>
      <c r="B227" s="275"/>
      <c r="C227" s="137" t="str">
        <f aca="true" t="shared" si="0" ref="C227:X227">IF(C38="","",C38)</f>
        <v>Sim</v>
      </c>
      <c r="D227" s="261" t="str">
        <f t="shared" si="0"/>
        <v>Porto Alegre / RS</v>
      </c>
      <c r="E227" s="262">
        <f t="shared" si="0"/>
      </c>
      <c r="F227" s="263">
        <f t="shared" si="0"/>
      </c>
      <c r="G227" s="261" t="str">
        <f t="shared" si="0"/>
        <v>PAVIMENTAÇÃO  DA AVENIDA JOSÉ DE ABREU</v>
      </c>
      <c r="H227" s="262">
        <f t="shared" si="0"/>
      </c>
      <c r="I227" s="262">
        <f t="shared" si="0"/>
      </c>
      <c r="J227" s="262">
        <f t="shared" si="0"/>
      </c>
      <c r="K227" s="262">
        <f t="shared" si="0"/>
      </c>
      <c r="L227" s="262">
        <f t="shared" si="0"/>
      </c>
      <c r="M227" s="262">
        <f t="shared" si="0"/>
      </c>
      <c r="N227" s="262">
        <f t="shared" si="0"/>
      </c>
      <c r="O227" s="262">
        <f t="shared" si="0"/>
      </c>
      <c r="P227" s="262">
        <f t="shared" si="0"/>
      </c>
      <c r="Q227" s="262">
        <f t="shared" si="0"/>
      </c>
      <c r="R227" s="262">
        <f t="shared" si="0"/>
      </c>
      <c r="S227" s="263">
        <f t="shared" si="0"/>
      </c>
      <c r="T227" s="139">
        <f t="shared" si="0"/>
        <v>0.3052</v>
      </c>
      <c r="U227" s="96">
        <f t="shared" si="0"/>
        <v>0.2272</v>
      </c>
      <c r="V227" s="96">
        <f t="shared" si="0"/>
      </c>
      <c r="W227" s="96">
        <f t="shared" si="0"/>
      </c>
      <c r="X227" s="96">
        <f t="shared" si="0"/>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48" t="s">
        <v>87</v>
      </c>
      <c r="B229" s="250"/>
      <c r="C229" s="248" t="s">
        <v>163</v>
      </c>
      <c r="D229" s="249"/>
      <c r="E229" s="249"/>
      <c r="F229" s="249"/>
      <c r="G229" s="249"/>
      <c r="H229" s="248" t="s">
        <v>16</v>
      </c>
      <c r="I229" s="249"/>
      <c r="J229" s="134" t="s">
        <v>91</v>
      </c>
      <c r="K229" s="248" t="s">
        <v>88</v>
      </c>
      <c r="L229" s="249"/>
      <c r="M229" s="250"/>
      <c r="N229" s="134" t="s">
        <v>92</v>
      </c>
      <c r="O229" s="248" t="s">
        <v>93</v>
      </c>
      <c r="P229" s="249"/>
      <c r="Q229" s="249"/>
      <c r="R229" s="249"/>
      <c r="S229" s="249"/>
      <c r="T229" s="250"/>
      <c r="U229" s="272" t="s">
        <v>89</v>
      </c>
      <c r="V229" s="273"/>
      <c r="W229" s="272" t="s">
        <v>90</v>
      </c>
      <c r="X229" s="273"/>
    </row>
    <row r="230" spans="1:24" s="21" customFormat="1" ht="12.75" customHeight="1">
      <c r="A230" s="261">
        <f>IF(A43="","",A43)</f>
      </c>
      <c r="B230" s="263"/>
      <c r="C230" s="261">
        <f>IF(C43="","",C43)</f>
      </c>
      <c r="D230" s="262"/>
      <c r="E230" s="262">
        <f>IF(E43="","",E43)</f>
      </c>
      <c r="F230" s="262"/>
      <c r="G230" s="262">
        <f>IF(G43="","",G43)</f>
      </c>
      <c r="H230" s="268">
        <f>IF(H43="","",H43)</f>
      </c>
      <c r="I230" s="269">
        <f>IF(I43="","",I43)</f>
      </c>
      <c r="J230" s="138">
        <f>IF(J43="","",J43)</f>
      </c>
      <c r="K230" s="264">
        <f>IF(K43="","",K43)</f>
      </c>
      <c r="L230" s="266"/>
      <c r="M230" s="267">
        <f>IF(M43="","",M43)</f>
      </c>
      <c r="N230" s="140">
        <f>IF(N43="","",N43)</f>
      </c>
      <c r="O230" s="264">
        <f>IF(O43="","",O43)</f>
      </c>
      <c r="P230" s="265"/>
      <c r="Q230" s="265">
        <f>IF(Q43="","",Q43)</f>
      </c>
      <c r="R230" s="266"/>
      <c r="S230" s="266">
        <f>IF(S43="","",S43)</f>
      </c>
      <c r="T230" s="267"/>
      <c r="U230" s="259">
        <f>IF(U43="","",U43)</f>
      </c>
      <c r="V230" s="260"/>
      <c r="W230" s="257">
        <f>IF(W43="","",W43)</f>
      </c>
      <c r="X230" s="258"/>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password="C95B" sheet="1" objects="1" scenarios="1"/>
  <mergeCells count="136">
    <mergeCell ref="A97:X97"/>
    <mergeCell ref="A26:X26"/>
    <mergeCell ref="A28:B28"/>
    <mergeCell ref="A29:B29"/>
    <mergeCell ref="A69:X69"/>
    <mergeCell ref="A60:X60"/>
    <mergeCell ref="A62:X62"/>
    <mergeCell ref="A38:B38"/>
    <mergeCell ref="U42:V42"/>
    <mergeCell ref="C43:G43"/>
    <mergeCell ref="K42:M42"/>
    <mergeCell ref="A4:X4"/>
    <mergeCell ref="A6:X6"/>
    <mergeCell ref="A8:X8"/>
    <mergeCell ref="A24:X24"/>
    <mergeCell ref="A14:X14"/>
    <mergeCell ref="A10:X10"/>
    <mergeCell ref="A12:X12"/>
    <mergeCell ref="A16:X16"/>
    <mergeCell ref="A18:X18"/>
    <mergeCell ref="A22:I22"/>
    <mergeCell ref="A35:X35"/>
    <mergeCell ref="D38:F38"/>
    <mergeCell ref="C42:G42"/>
    <mergeCell ref="H42:I42"/>
    <mergeCell ref="B56:E56"/>
    <mergeCell ref="G37:S37"/>
    <mergeCell ref="O42:T42"/>
    <mergeCell ref="D37:F37"/>
    <mergeCell ref="A43:B43"/>
    <mergeCell ref="A92:X92"/>
    <mergeCell ref="A79:X79"/>
    <mergeCell ref="A82:X82"/>
    <mergeCell ref="A101:X101"/>
    <mergeCell ref="A95:X95"/>
    <mergeCell ref="A96:X96"/>
    <mergeCell ref="A83:X83"/>
    <mergeCell ref="A86:X86"/>
    <mergeCell ref="A99:X99"/>
    <mergeCell ref="A98:X98"/>
    <mergeCell ref="O43:T43"/>
    <mergeCell ref="A70:X70"/>
    <mergeCell ref="A40:X40"/>
    <mergeCell ref="G38:S38"/>
    <mergeCell ref="A100:X100"/>
    <mergeCell ref="A74:X74"/>
    <mergeCell ref="A81:X81"/>
    <mergeCell ref="A90:X90"/>
    <mergeCell ref="A93:X93"/>
    <mergeCell ref="A94:X94"/>
    <mergeCell ref="H54:K54"/>
    <mergeCell ref="A76:X76"/>
    <mergeCell ref="A84:X84"/>
    <mergeCell ref="A77:X77"/>
    <mergeCell ref="B1:X2"/>
    <mergeCell ref="H56:K56"/>
    <mergeCell ref="W42:X42"/>
    <mergeCell ref="A37:B37"/>
    <mergeCell ref="A42:B42"/>
    <mergeCell ref="W43:X43"/>
    <mergeCell ref="A67:X67"/>
    <mergeCell ref="A88:X88"/>
    <mergeCell ref="K43:M43"/>
    <mergeCell ref="A68:X68"/>
    <mergeCell ref="A78:X78"/>
    <mergeCell ref="A71:X71"/>
    <mergeCell ref="A72:X72"/>
    <mergeCell ref="H43:I43"/>
    <mergeCell ref="A85:X85"/>
    <mergeCell ref="A80:X80"/>
    <mergeCell ref="J29:O29"/>
    <mergeCell ref="B54:E54"/>
    <mergeCell ref="A65:X65"/>
    <mergeCell ref="H55:K55"/>
    <mergeCell ref="A45:X45"/>
    <mergeCell ref="A63:X63"/>
    <mergeCell ref="A50:X50"/>
    <mergeCell ref="U43:V43"/>
    <mergeCell ref="B55:E55"/>
    <mergeCell ref="B57:E57"/>
    <mergeCell ref="W229:X229"/>
    <mergeCell ref="U229:V229"/>
    <mergeCell ref="A227:B227"/>
    <mergeCell ref="G226:S226"/>
    <mergeCell ref="A226:B226"/>
    <mergeCell ref="A220:B220"/>
    <mergeCell ref="A221:B221"/>
    <mergeCell ref="D227:F227"/>
    <mergeCell ref="J220:O220"/>
    <mergeCell ref="Q223:X223"/>
    <mergeCell ref="D226:F226"/>
    <mergeCell ref="A223:F223"/>
    <mergeCell ref="A224:F224"/>
    <mergeCell ref="G224:J224"/>
    <mergeCell ref="K223:P223"/>
    <mergeCell ref="G223:J223"/>
    <mergeCell ref="A229:B229"/>
    <mergeCell ref="C229:G229"/>
    <mergeCell ref="O230:T230"/>
    <mergeCell ref="H229:I229"/>
    <mergeCell ref="K229:M229"/>
    <mergeCell ref="O229:T229"/>
    <mergeCell ref="K230:M230"/>
    <mergeCell ref="C230:G230"/>
    <mergeCell ref="H230:I230"/>
    <mergeCell ref="A230:B230"/>
    <mergeCell ref="F28:I28"/>
    <mergeCell ref="F29:I29"/>
    <mergeCell ref="W230:X230"/>
    <mergeCell ref="Q224:X224"/>
    <mergeCell ref="Q31:X31"/>
    <mergeCell ref="Q32:X32"/>
    <mergeCell ref="U230:V230"/>
    <mergeCell ref="J221:O221"/>
    <mergeCell ref="G227:S227"/>
    <mergeCell ref="K224:P224"/>
    <mergeCell ref="C221:E221"/>
    <mergeCell ref="F220:I220"/>
    <mergeCell ref="F221:I221"/>
    <mergeCell ref="P220:X220"/>
    <mergeCell ref="P221:X221"/>
    <mergeCell ref="A31:F31"/>
    <mergeCell ref="C220:E220"/>
    <mergeCell ref="A87:X87"/>
    <mergeCell ref="A48:C48"/>
    <mergeCell ref="H57:K57"/>
    <mergeCell ref="J28:O28"/>
    <mergeCell ref="G32:J32"/>
    <mergeCell ref="K31:P31"/>
    <mergeCell ref="K32:P32"/>
    <mergeCell ref="P28:X28"/>
    <mergeCell ref="A32:F32"/>
    <mergeCell ref="G31:J31"/>
    <mergeCell ref="P29:X29"/>
    <mergeCell ref="C28:E28"/>
    <mergeCell ref="C29:E29"/>
  </mergeCells>
  <conditionalFormatting sqref="B54:E55 B56 B57:E57">
    <cfRule type="expression" priority="42" dxfId="5" stopIfTrue="1">
      <formula>$B54&lt;&gt;""</formula>
    </cfRule>
  </conditionalFormatting>
  <conditionalFormatting sqref="A48 H54:K54 H55:H56 H57:K57 A29:C29 J29 F29 A32 P29 G32 K32">
    <cfRule type="expression" priority="48" dxfId="5" stopIfTrue="1">
      <formula>A29&lt;&gt;""</formula>
    </cfRule>
  </conditionalFormatting>
  <conditionalFormatting sqref="G53:K54 G55:H56 G57:K57">
    <cfRule type="expression" priority="43" dxfId="265" stopIfTrue="1">
      <formula>$K$52&lt;&gt;"SIM"</formula>
    </cfRule>
  </conditionalFormatting>
  <conditionalFormatting sqref="A40:X43">
    <cfRule type="expression" priority="56" dxfId="69" stopIfTrue="1">
      <formula>OR(TipoOrçamento="BASE",TipoOrçamento="REPROGRAMADONPL")</formula>
    </cfRule>
    <cfRule type="expression" priority="57" dxfId="5" stopIfTrue="1">
      <formula>A40&lt;&gt;""</formula>
    </cfRule>
  </conditionalFormatting>
  <conditionalFormatting sqref="A35:X38">
    <cfRule type="expression" priority="58" dxfId="69" stopIfTrue="1">
      <formula>OR(TipoOrçamento="LICITADO",TipoOrçamento="REPROGRAMADOAC")</formula>
    </cfRule>
    <cfRule type="expression" priority="59" dxfId="5" stopIfTrue="1">
      <formula>A35&lt;&gt;""</formula>
    </cfRule>
  </conditionalFormatting>
  <conditionalFormatting sqref="Q32">
    <cfRule type="expression" priority="1" dxfId="5"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10;Formato 0.000.000-00/0000." sqref="A29:B29"/>
  </dataValidations>
  <printOptions/>
  <pageMargins left="0.78740157480315" right="0.78740157480315" top="0.78740157480315" bottom="0.78740157480315" header="5.70866141732284" footer="0.590551181102362"/>
  <pageSetup fitToHeight="1" fitToWidth="1" orientation="portrait" scale="43"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sheetPr codeName="Plan4">
    <tabColor rgb="FFFFFF00"/>
    <pageSetUpPr fitToPage="1"/>
  </sheetPr>
  <dimension ref="A1:AE60"/>
  <sheetViews>
    <sheetView showGridLines="0" zoomScaleSheetLayoutView="100" zoomScalePageLayoutView="70" workbookViewId="0" topLeftCell="I13">
      <selection activeCell="N18" sqref="N18:N23"/>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3" t="s">
        <v>150</v>
      </c>
      <c r="J4" s="235"/>
      <c r="K4" s="233" t="s">
        <v>173</v>
      </c>
      <c r="L4" s="234"/>
      <c r="M4" s="234"/>
      <c r="N4" s="234"/>
      <c r="O4" s="234"/>
      <c r="P4" s="234"/>
      <c r="Q4" s="234"/>
      <c r="R4" s="235"/>
    </row>
    <row r="5" spans="1:19" ht="12.75" customHeight="1">
      <c r="A5" s="52" t="str">
        <f>A4</f>
        <v>Construção e Reforma de Edifícios</v>
      </c>
      <c r="B5" s="54" t="s">
        <v>32</v>
      </c>
      <c r="C5" s="52" t="str">
        <f t="shared" si="0"/>
        <v>Construção e Reforma de Edifícios-DF</v>
      </c>
      <c r="E5" s="55">
        <v>0.0059</v>
      </c>
      <c r="F5" s="55">
        <v>0.0123</v>
      </c>
      <c r="G5" s="55">
        <v>0.0139</v>
      </c>
      <c r="I5" s="339">
        <f>DADOS!A29</f>
        <v>0</v>
      </c>
      <c r="J5" s="340"/>
      <c r="K5" s="341" t="str">
        <f>DADOS!A32</f>
        <v>PREFEITURA MUNICIPAL DE CANDIOTA</v>
      </c>
      <c r="L5" s="342"/>
      <c r="M5" s="342"/>
      <c r="N5" s="342"/>
      <c r="O5" s="342"/>
      <c r="P5" s="342"/>
      <c r="Q5" s="342"/>
      <c r="R5" s="343"/>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3" t="s">
        <v>0</v>
      </c>
      <c r="J7" s="234"/>
      <c r="K7" s="234"/>
      <c r="L7" s="234"/>
      <c r="M7" s="234"/>
      <c r="N7" s="234"/>
      <c r="O7" s="234"/>
      <c r="P7" s="234"/>
      <c r="Q7" s="234"/>
      <c r="R7" s="235"/>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4" t="str">
        <f>DADOS!P29</f>
        <v>PAVIMENTAÇÃO  DE DIVERSAS VIAS NO MUNICÍPIO DE CANDIOTA</v>
      </c>
      <c r="J8" s="344"/>
      <c r="K8" s="344"/>
      <c r="L8" s="344"/>
      <c r="M8" s="344"/>
      <c r="N8" s="344"/>
      <c r="O8" s="344"/>
      <c r="P8" s="344"/>
      <c r="Q8" s="344"/>
      <c r="R8" s="344"/>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3" t="s">
        <v>35</v>
      </c>
      <c r="J10" s="234"/>
      <c r="K10" s="234"/>
      <c r="L10" s="234"/>
      <c r="M10" s="234"/>
      <c r="N10" s="234"/>
      <c r="O10" s="234"/>
      <c r="P10" s="234"/>
      <c r="Q10" s="233" t="s">
        <v>13</v>
      </c>
      <c r="R10" s="235"/>
    </row>
    <row r="11" spans="1:18" ht="12.75">
      <c r="A11" s="52" t="s">
        <v>34</v>
      </c>
      <c r="B11" s="54" t="s">
        <v>32</v>
      </c>
      <c r="C11" s="52" t="str">
        <f t="shared" si="0"/>
        <v>Construção de Praças Urbanas, Rodovias, Ferrovias e recapeamento e pavimentação de vias urbanas-DF</v>
      </c>
      <c r="E11" s="55">
        <v>0.0102</v>
      </c>
      <c r="F11" s="55">
        <v>0.0111</v>
      </c>
      <c r="G11" s="55">
        <v>0.0121</v>
      </c>
      <c r="I11" s="334" t="s">
        <v>34</v>
      </c>
      <c r="J11" s="335"/>
      <c r="K11" s="335"/>
      <c r="L11" s="335"/>
      <c r="M11" s="335"/>
      <c r="N11" s="335"/>
      <c r="O11" s="335"/>
      <c r="P11" s="336"/>
      <c r="Q11" s="337" t="str">
        <f>DADOS!$C$38</f>
        <v>Sim</v>
      </c>
      <c r="R11" s="338"/>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31" t="s">
        <v>36</v>
      </c>
      <c r="J13" s="331"/>
      <c r="K13" s="331"/>
      <c r="L13" s="331"/>
      <c r="M13" s="331"/>
      <c r="N13" s="331"/>
      <c r="O13" s="331"/>
      <c r="P13" s="331"/>
      <c r="Q13" s="328">
        <v>1</v>
      </c>
      <c r="R13" s="328"/>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29" t="s">
        <v>38</v>
      </c>
      <c r="J14" s="329"/>
      <c r="K14" s="329"/>
      <c r="L14" s="329"/>
      <c r="M14" s="329"/>
      <c r="N14" s="329"/>
      <c r="O14" s="329"/>
      <c r="P14" s="329"/>
      <c r="Q14" s="328">
        <v>0.03</v>
      </c>
      <c r="R14" s="328"/>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30" t="s">
        <v>39</v>
      </c>
      <c r="J16" s="330"/>
      <c r="K16" s="330"/>
      <c r="L16" s="330"/>
      <c r="M16" s="330" t="s">
        <v>40</v>
      </c>
      <c r="N16" s="333" t="s">
        <v>41</v>
      </c>
      <c r="O16" s="333" t="s">
        <v>42</v>
      </c>
      <c r="P16" s="332" t="s">
        <v>43</v>
      </c>
      <c r="Q16" s="332" t="s">
        <v>44</v>
      </c>
      <c r="R16" s="349" t="s">
        <v>45</v>
      </c>
      <c r="T16" s="345">
        <f>IF(V27,"Para BDI fora do intervalo estatístico, deve ser apresentado Relatório Técnico Circunstanciado justificando a adoção do percentual de cada parcela do BDI.","")</f>
      </c>
      <c r="U16" s="345"/>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30"/>
      <c r="J17" s="330"/>
      <c r="K17" s="330"/>
      <c r="L17" s="330"/>
      <c r="M17" s="330"/>
      <c r="N17" s="333"/>
      <c r="O17" s="333"/>
      <c r="P17" s="332"/>
      <c r="Q17" s="332"/>
      <c r="R17" s="349"/>
      <c r="T17" s="345"/>
      <c r="U17" s="345"/>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47" t="str">
        <f>IF($I$11=$A$59,"Encargos Sociais incidentes sobre a mão de obra","Administração Central")</f>
        <v>Administração Central</v>
      </c>
      <c r="J18" s="347"/>
      <c r="K18" s="347"/>
      <c r="L18" s="347"/>
      <c r="M18" s="60" t="str">
        <f>IF($I$11=$A$59,"K1","AC")</f>
        <v>AC</v>
      </c>
      <c r="N18" s="61">
        <v>0.04</v>
      </c>
      <c r="O18" s="62" t="s">
        <v>46</v>
      </c>
      <c r="P18" s="63">
        <f>VLOOKUP(CONCATENATE(I$11,"-",M18),$C$2:$G$49,3,FALSE)</f>
        <v>0.038</v>
      </c>
      <c r="Q18" s="63">
        <f>VLOOKUP(CONCATENATE(I$11,"-",M18),$C$2:$G$49,4,FALSE)</f>
        <v>0.0401</v>
      </c>
      <c r="R18" s="63">
        <f>VLOOKUP(CONCATENATE(I$11,"-",M18),$C$2:$G$49,5,FALSE)</f>
        <v>0.0467</v>
      </c>
      <c r="T18" s="345"/>
      <c r="U18" s="345"/>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47" t="str">
        <f>IF($I$11=$A$59,"Administração Central da empresa ou consultoria - overhead","Seguro e Garantia")</f>
        <v>Seguro e Garantia</v>
      </c>
      <c r="J19" s="347"/>
      <c r="K19" s="347"/>
      <c r="L19" s="347"/>
      <c r="M19" s="60" t="str">
        <f>IF($I$11=$A$59,"K2","SG")</f>
        <v>SG</v>
      </c>
      <c r="N19" s="61">
        <v>0.0045</v>
      </c>
      <c r="O19" s="62" t="s">
        <v>46</v>
      </c>
      <c r="P19" s="63">
        <f>VLOOKUP(CONCATENATE(I$11,"-",M19),$C$2:$G$49,3,FALSE)</f>
        <v>0.0032</v>
      </c>
      <c r="Q19" s="63">
        <f>VLOOKUP(CONCATENATE(I$11,"-",M19),$C$2:$G$49,4,FALSE)</f>
        <v>0.004</v>
      </c>
      <c r="R19" s="63">
        <f>VLOOKUP(CONCATENATE(I$11,"-",M19),$C$2:$G$49,5,FALSE)</f>
        <v>0.0074</v>
      </c>
      <c r="T19" s="345"/>
      <c r="U19" s="345"/>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47" t="str">
        <f>IF($I$11=$A$59,"","Risco")</f>
        <v>Risco</v>
      </c>
      <c r="J20" s="347"/>
      <c r="K20" s="347"/>
      <c r="L20" s="347"/>
      <c r="M20" s="60" t="str">
        <f>IF($I$11=$A$59,"","R")</f>
        <v>R</v>
      </c>
      <c r="N20" s="61">
        <v>0.0097</v>
      </c>
      <c r="O20" s="62" t="s">
        <v>46</v>
      </c>
      <c r="P20" s="63">
        <f>VLOOKUP(CONCATENATE(I$11,"-",M20),$C$2:$G$49,3,FALSE)</f>
        <v>0.005</v>
      </c>
      <c r="Q20" s="63">
        <f>VLOOKUP(CONCATENATE(I$11,"-",M20),$C$2:$G$49,4,FALSE)</f>
        <v>0.005600000000000001</v>
      </c>
      <c r="R20" s="63">
        <f>VLOOKUP(CONCATENATE(I$11,"-",M20),$C$2:$G$49,5,FALSE)</f>
        <v>0.0097</v>
      </c>
      <c r="T20" s="345"/>
      <c r="U20" s="345"/>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47" t="str">
        <f>IF($I$11=$A$59,"","Despesas Financeiras")</f>
        <v>Despesas Financeiras</v>
      </c>
      <c r="J21" s="347"/>
      <c r="K21" s="347"/>
      <c r="L21" s="347"/>
      <c r="M21" s="60" t="str">
        <f>IF($I$11=$A$59,"","DF")</f>
        <v>DF</v>
      </c>
      <c r="N21" s="61">
        <v>0.0121</v>
      </c>
      <c r="O21" s="62" t="s">
        <v>46</v>
      </c>
      <c r="P21" s="63">
        <f>VLOOKUP(CONCATENATE(I$11,"-",M21),$C$2:$G$49,3,FALSE)</f>
        <v>0.0102</v>
      </c>
      <c r="Q21" s="63">
        <f>VLOOKUP(CONCATENATE(I$11,"-",M21),$C$2:$G$49,4,FALSE)</f>
        <v>0.0111</v>
      </c>
      <c r="R21" s="63">
        <f>VLOOKUP(CONCATENATE(I$11,"-",M21),$C$2:$G$49,5,FALSE)</f>
        <v>0.0121</v>
      </c>
      <c r="T21" s="345"/>
      <c r="U21" s="345"/>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47" t="str">
        <f>IF($I$11=$A$59,"Margem bruta da empresa de consultoria","Lucro")</f>
        <v>Lucro</v>
      </c>
      <c r="J22" s="347"/>
      <c r="K22" s="347"/>
      <c r="L22" s="347"/>
      <c r="M22" s="60" t="str">
        <f>IF($I$11=$A$59,"K3","L")</f>
        <v>L</v>
      </c>
      <c r="N22" s="61">
        <v>0.08689999999999999</v>
      </c>
      <c r="O22" s="62" t="s">
        <v>46</v>
      </c>
      <c r="P22" s="63">
        <f>VLOOKUP(CONCATENATE(I$11,"-",M22),$C$2:$G$49,3,FALSE)</f>
        <v>0.0664</v>
      </c>
      <c r="Q22" s="63">
        <f>VLOOKUP(CONCATENATE(I$11,"-",M22),$C$2:$G$49,4,FALSE)</f>
        <v>0.073</v>
      </c>
      <c r="R22" s="63">
        <f>VLOOKUP(CONCATENATE(I$11,"-",M22),$C$2:$G$49,5,FALSE)</f>
        <v>0.08689999999999999</v>
      </c>
      <c r="T22" s="345"/>
      <c r="U22" s="345"/>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48" t="s">
        <v>48</v>
      </c>
      <c r="J23" s="348"/>
      <c r="K23" s="348"/>
      <c r="L23" s="348"/>
      <c r="M23" s="60" t="s">
        <v>49</v>
      </c>
      <c r="N23" s="61">
        <v>0.0365</v>
      </c>
      <c r="O23" s="62" t="s">
        <v>46</v>
      </c>
      <c r="P23" s="63">
        <v>0.0365</v>
      </c>
      <c r="Q23" s="63">
        <v>0.0365</v>
      </c>
      <c r="R23" s="63">
        <v>0.0365</v>
      </c>
      <c r="T23" s="345"/>
      <c r="U23" s="345"/>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47" t="s">
        <v>50</v>
      </c>
      <c r="J24" s="347"/>
      <c r="K24" s="347"/>
      <c r="L24" s="347"/>
      <c r="M24" s="60" t="s">
        <v>51</v>
      </c>
      <c r="N24" s="63">
        <f>IF($I$11&lt;&gt;$A$58,Q14*Q13,0)</f>
        <v>0.03</v>
      </c>
      <c r="O24" s="62" t="s">
        <v>46</v>
      </c>
      <c r="P24" s="63">
        <v>0</v>
      </c>
      <c r="Q24" s="63">
        <v>0.025</v>
      </c>
      <c r="R24" s="63">
        <v>0.05</v>
      </c>
      <c r="T24" s="345"/>
      <c r="U24" s="345"/>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47" t="s">
        <v>116</v>
      </c>
      <c r="J25" s="347"/>
      <c r="K25" s="347"/>
      <c r="L25" s="347"/>
      <c r="M25" s="60" t="s">
        <v>52</v>
      </c>
      <c r="N25" s="63">
        <f>IF(AND($I$11&lt;&gt;$A$58,Q11="Sim"),4.5%,0%)</f>
        <v>0.045</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47" t="s">
        <v>53</v>
      </c>
      <c r="J26" s="347"/>
      <c r="K26" s="347"/>
      <c r="L26" s="347"/>
      <c r="M26" s="65" t="s">
        <v>33</v>
      </c>
      <c r="N26" s="63">
        <f>IF($I$11=$A$58,0,ROUND((((1+N18+N19+N20)*(1+N21)*(1+N22)/(1-(N23+N24)))-1),4))</f>
        <v>0.2423</v>
      </c>
      <c r="O26" s="106" t="str">
        <f>IF(OR($I$11=$A$59,$I$11=$A$58,AND(N26&gt;=P26,N26&lt;=R26)),"OK","FORA DO INTERVALO")</f>
        <v>OK</v>
      </c>
      <c r="P26" s="63">
        <f>IF($I$11=$A$58,0,VLOOKUP(CONCATENATE($I$11,"-",$M26),$C$2:$G$49,3,FALSE))</f>
        <v>0.196</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52" t="s">
        <v>55</v>
      </c>
      <c r="J27" s="352"/>
      <c r="K27" s="352"/>
      <c r="L27" s="352"/>
      <c r="M27" s="66" t="s">
        <v>56</v>
      </c>
      <c r="N27" s="67">
        <f>IF($I$11=$A$58,0,ROUND((((1+N18+N19+N20)*(1+N21)*(1+N22)/(1-(N23+N24+N25)))-1),4))</f>
        <v>0.3052</v>
      </c>
      <c r="O27" s="110" t="str">
        <f>IF(Q11&lt;&gt;"Sim","",O26)</f>
        <v>OK</v>
      </c>
      <c r="P27" s="353"/>
      <c r="Q27" s="353"/>
      <c r="R27" s="353"/>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51" t="s">
        <v>117</v>
      </c>
      <c r="K29" s="351"/>
      <c r="L29" s="351"/>
      <c r="M29" s="351"/>
      <c r="N29" s="351"/>
      <c r="O29" s="351"/>
      <c r="P29" s="351"/>
      <c r="Q29" s="351"/>
      <c r="R29" s="351"/>
      <c r="V29" s="111" t="b">
        <v>0</v>
      </c>
      <c r="W29" s="52" t="s">
        <v>119</v>
      </c>
    </row>
    <row r="30" spans="2:22" ht="7.5" customHeight="1">
      <c r="B30" s="54"/>
      <c r="E30" s="55"/>
      <c r="F30" s="55"/>
      <c r="G30" s="55"/>
      <c r="V30" s="111"/>
    </row>
    <row r="31" spans="2:18" ht="18.75" customHeight="1">
      <c r="B31" s="54"/>
      <c r="E31" s="55"/>
      <c r="F31" s="55"/>
      <c r="G31" s="55"/>
      <c r="I31" s="354" t="s">
        <v>61</v>
      </c>
      <c r="J31" s="354"/>
      <c r="K31" s="354"/>
      <c r="L31" s="354"/>
      <c r="M31" s="354"/>
      <c r="N31" s="354"/>
      <c r="O31" s="354"/>
      <c r="P31" s="354"/>
      <c r="Q31" s="354"/>
      <c r="R31" s="354"/>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27" t="str">
        <f>IF(Q11="Sim","BDI.DES =","BDI.PAD =")</f>
        <v>BDI.DES =</v>
      </c>
      <c r="M32" s="325" t="str">
        <f>IF($I$11=$A$59,"(1+K1+K2)*(1+K3)","(1+AC + S + R + G)*(1 + DF)*(1+L)")</f>
        <v>(1+AC + S + R + G)*(1 + DF)*(1+L)</v>
      </c>
      <c r="N32" s="325"/>
      <c r="O32" s="325"/>
      <c r="P32" s="323"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27"/>
      <c r="M33" s="326" t="str">
        <f>IF(Q11="Sim","(1-CP-ISS-CRPB)","(1-CP-ISS)")</f>
        <v>(1-CP-ISS-CRPB)</v>
      </c>
      <c r="N33" s="326"/>
      <c r="O33" s="326"/>
      <c r="P33" s="324"/>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50"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3%.</v>
      </c>
      <c r="J35" s="350"/>
      <c r="K35" s="350"/>
      <c r="L35" s="350"/>
      <c r="M35" s="350"/>
      <c r="N35" s="350"/>
      <c r="O35" s="350"/>
      <c r="P35" s="350"/>
      <c r="Q35" s="350"/>
      <c r="R35" s="350"/>
    </row>
    <row r="36" spans="2:7" ht="11.25" customHeight="1">
      <c r="B36" s="59"/>
      <c r="E36" s="55"/>
      <c r="F36" s="55"/>
      <c r="G36" s="55"/>
    </row>
    <row r="37" spans="2:18" ht="52.5" customHeight="1">
      <c r="B37" s="59"/>
      <c r="E37" s="55"/>
      <c r="F37" s="55"/>
      <c r="G37" s="55"/>
      <c r="I37" s="35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350"/>
      <c r="K37" s="350"/>
      <c r="L37" s="350"/>
      <c r="M37" s="350"/>
      <c r="N37" s="350"/>
      <c r="O37" s="350"/>
      <c r="P37" s="350"/>
      <c r="Q37" s="350"/>
      <c r="R37" s="350"/>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16"/>
      <c r="J40" s="317"/>
      <c r="K40" s="317"/>
      <c r="L40" s="317"/>
      <c r="M40" s="317"/>
      <c r="N40" s="317"/>
      <c r="O40" s="317"/>
      <c r="P40" s="317"/>
      <c r="Q40" s="317"/>
      <c r="R40" s="318"/>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46" t="str">
        <f>PO!K40</f>
        <v>CANDIOTA/RS</v>
      </c>
      <c r="J42" s="346"/>
      <c r="K42" s="346"/>
      <c r="L42" s="346"/>
      <c r="O42" s="314">
        <f>PO!K43</f>
        <v>43319</v>
      </c>
      <c r="P42" s="314"/>
      <c r="Q42" s="314"/>
      <c r="R42" s="314"/>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22" t="s">
        <v>120</v>
      </c>
      <c r="J43" s="322"/>
      <c r="K43" s="322"/>
      <c r="L43" s="322"/>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19" t="s">
        <v>57</v>
      </c>
      <c r="J46" s="319"/>
      <c r="K46" s="319"/>
      <c r="L46" s="319"/>
      <c r="M46" s="70"/>
      <c r="N46" s="70"/>
      <c r="O46" s="319" t="s">
        <v>58</v>
      </c>
      <c r="P46" s="319"/>
      <c r="Q46" s="319"/>
      <c r="R46" s="319"/>
    </row>
    <row r="47" spans="1:18" ht="14.25">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5">
        <f>DADOS!B54</f>
        <v>0</v>
      </c>
      <c r="K47" s="315"/>
      <c r="L47" s="315"/>
      <c r="M47" s="71"/>
      <c r="N47" s="71"/>
      <c r="O47" s="29" t="s">
        <v>140</v>
      </c>
      <c r="P47" s="320" t="s">
        <v>241</v>
      </c>
      <c r="Q47" s="320"/>
      <c r="R47" s="320"/>
    </row>
    <row r="48" spans="1:18" ht="14.25">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5">
        <f>DADOS!B55</f>
        <v>0</v>
      </c>
      <c r="K48" s="315"/>
      <c r="L48" s="315"/>
      <c r="M48" s="71"/>
      <c r="N48" s="71"/>
      <c r="O48" s="29" t="s">
        <v>60</v>
      </c>
      <c r="P48" s="320" t="s">
        <v>242</v>
      </c>
      <c r="Q48" s="320"/>
      <c r="R48" s="320"/>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5">
        <f>DADOS!B56</f>
        <v>0</v>
      </c>
      <c r="K49" s="315"/>
      <c r="L49" s="315"/>
      <c r="M49" s="71"/>
      <c r="N49" s="71"/>
      <c r="O49" s="71"/>
      <c r="P49" s="71"/>
      <c r="Q49" s="71"/>
      <c r="R49" s="71"/>
    </row>
    <row r="50" spans="9:12" ht="12.75">
      <c r="I50" s="29" t="str">
        <f>DADOS!A57</f>
        <v>CNPJ:</v>
      </c>
      <c r="J50" s="315">
        <f>DADOS!B57</f>
        <v>0</v>
      </c>
      <c r="K50" s="315"/>
      <c r="L50" s="315"/>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4.25" hidden="1">
      <c r="A60" s="72"/>
      <c r="B60" s="71"/>
      <c r="C60" s="71"/>
      <c r="D60" s="71"/>
      <c r="E60" s="71"/>
      <c r="F60" s="71"/>
      <c r="G60" s="71"/>
    </row>
  </sheetData>
  <sheetProtection password="C95B" sheet="1" objects="1" scenarios="1"/>
  <mergeCells count="55">
    <mergeCell ref="R16:R17"/>
    <mergeCell ref="I37:R37"/>
    <mergeCell ref="J50:L50"/>
    <mergeCell ref="J29:R29"/>
    <mergeCell ref="I26:L26"/>
    <mergeCell ref="I27:L27"/>
    <mergeCell ref="P27:R27"/>
    <mergeCell ref="O45:R45"/>
    <mergeCell ref="I31:R31"/>
    <mergeCell ref="I35:R35"/>
    <mergeCell ref="T16:U24"/>
    <mergeCell ref="I42:L42"/>
    <mergeCell ref="I18:L18"/>
    <mergeCell ref="I19:L19"/>
    <mergeCell ref="I20:L20"/>
    <mergeCell ref="I21:L21"/>
    <mergeCell ref="I22:L22"/>
    <mergeCell ref="I23:L23"/>
    <mergeCell ref="I24:L24"/>
    <mergeCell ref="I25:L25"/>
    <mergeCell ref="I11:P11"/>
    <mergeCell ref="Q11:R11"/>
    <mergeCell ref="I4:J4"/>
    <mergeCell ref="K4:R4"/>
    <mergeCell ref="I5:J5"/>
    <mergeCell ref="K5:R5"/>
    <mergeCell ref="I7:R7"/>
    <mergeCell ref="I8:R8"/>
    <mergeCell ref="M16:M17"/>
    <mergeCell ref="I13:P13"/>
    <mergeCell ref="P16:P17"/>
    <mergeCell ref="Q16:Q17"/>
    <mergeCell ref="N16:N17"/>
    <mergeCell ref="I16:L17"/>
    <mergeCell ref="O16:O17"/>
    <mergeCell ref="I43:L43"/>
    <mergeCell ref="I10:P10"/>
    <mergeCell ref="Q10:R10"/>
    <mergeCell ref="P32:P33"/>
    <mergeCell ref="M32:O32"/>
    <mergeCell ref="M33:O33"/>
    <mergeCell ref="L32:L33"/>
    <mergeCell ref="Q13:R13"/>
    <mergeCell ref="I14:P14"/>
    <mergeCell ref="Q14:R14"/>
    <mergeCell ref="O42:R42"/>
    <mergeCell ref="J49:L49"/>
    <mergeCell ref="I40:R40"/>
    <mergeCell ref="I46:L46"/>
    <mergeCell ref="O46:R46"/>
    <mergeCell ref="J47:L47"/>
    <mergeCell ref="P47:R47"/>
    <mergeCell ref="J48:L48"/>
    <mergeCell ref="P48:R48"/>
    <mergeCell ref="I45:L45"/>
  </mergeCells>
  <conditionalFormatting sqref="O42">
    <cfRule type="expression" priority="6" dxfId="244" stopIfTrue="1">
      <formula>$O$42=""</formula>
    </cfRule>
  </conditionalFormatting>
  <conditionalFormatting sqref="O18:O27">
    <cfRule type="expression" priority="11" dxfId="268" stopIfTrue="1">
      <formula>AND(O18&lt;&gt;"OK",O18&lt;&gt;"-",O18&lt;&gt;"")</formula>
    </cfRule>
    <cfRule type="cellIs" priority="12" dxfId="269" operator="equal" stopIfTrue="1">
      <formula>"OK"</formula>
    </cfRule>
  </conditionalFormatting>
  <conditionalFormatting sqref="I26:N26">
    <cfRule type="expression" priority="10" dxfId="247" stopIfTrue="1">
      <formula>$Q$11="Não"</formula>
    </cfRule>
  </conditionalFormatting>
  <conditionalFormatting sqref="I27:N27">
    <cfRule type="expression" priority="9" dxfId="270" stopIfTrue="1">
      <formula>$Q$11="sim"</formula>
    </cfRule>
  </conditionalFormatting>
  <conditionalFormatting sqref="P27:R27">
    <cfRule type="expression" priority="8" dxfId="268" stopIfTrue="1">
      <formula>$Q$11="sim"</formula>
    </cfRule>
  </conditionalFormatting>
  <conditionalFormatting sqref="P47:R48">
    <cfRule type="expression" priority="7" dxfId="244" stopIfTrue="1">
      <formula>P47=""</formula>
    </cfRule>
  </conditionalFormatting>
  <conditionalFormatting sqref="I29:R29">
    <cfRule type="expression" priority="3" dxfId="243" stopIfTrue="1">
      <formula>AND(NOT($V$27),NOT($V$29))</formula>
    </cfRule>
  </conditionalFormatting>
  <conditionalFormatting sqref="P18:R26">
    <cfRule type="expression" priority="2" dxfId="242"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7"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Plan5">
    <tabColor rgb="FFFFFF00"/>
    <pageSetUpPr fitToPage="1"/>
  </sheetPr>
  <dimension ref="A1:AE60"/>
  <sheetViews>
    <sheetView showGridLines="0" zoomScaleSheetLayoutView="100" zoomScalePageLayoutView="70" workbookViewId="0" topLeftCell="I1">
      <selection activeCell="N18" sqref="N18:N23"/>
    </sheetView>
  </sheetViews>
  <sheetFormatPr defaultColWidth="0" defaultRowHeight="12.75" customHeight="1"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2</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3" t="s">
        <v>150</v>
      </c>
      <c r="J4" s="235"/>
      <c r="K4" s="233" t="s">
        <v>173</v>
      </c>
      <c r="L4" s="234"/>
      <c r="M4" s="234"/>
      <c r="N4" s="234"/>
      <c r="O4" s="234"/>
      <c r="P4" s="234"/>
      <c r="Q4" s="234"/>
      <c r="R4" s="235"/>
    </row>
    <row r="5" spans="1:19" ht="12.75" customHeight="1">
      <c r="A5" s="52" t="str">
        <f>A4</f>
        <v>Construção e Reforma de Edifícios</v>
      </c>
      <c r="B5" s="54" t="s">
        <v>32</v>
      </c>
      <c r="C5" s="52" t="str">
        <f t="shared" si="0"/>
        <v>Construção e Reforma de Edifícios-DF</v>
      </c>
      <c r="E5" s="55">
        <v>0.0059</v>
      </c>
      <c r="F5" s="55">
        <v>0.0123</v>
      </c>
      <c r="G5" s="55">
        <v>0.0139</v>
      </c>
      <c r="I5" s="339">
        <f>DADOS!A29</f>
        <v>0</v>
      </c>
      <c r="J5" s="340"/>
      <c r="K5" s="341" t="str">
        <f>DADOS!A32</f>
        <v>PREFEITURA MUNICIPAL DE CANDIOTA</v>
      </c>
      <c r="L5" s="342"/>
      <c r="M5" s="342"/>
      <c r="N5" s="342"/>
      <c r="O5" s="342"/>
      <c r="P5" s="342"/>
      <c r="Q5" s="342"/>
      <c r="R5" s="343"/>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3" t="s">
        <v>0</v>
      </c>
      <c r="J7" s="234"/>
      <c r="K7" s="234"/>
      <c r="L7" s="234"/>
      <c r="M7" s="234"/>
      <c r="N7" s="234"/>
      <c r="O7" s="234"/>
      <c r="P7" s="234"/>
      <c r="Q7" s="234"/>
      <c r="R7" s="235"/>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4" t="str">
        <f>DADOS!P29</f>
        <v>PAVIMENTAÇÃO  DE DIVERSAS VIAS NO MUNICÍPIO DE CANDIOTA</v>
      </c>
      <c r="J8" s="344"/>
      <c r="K8" s="344"/>
      <c r="L8" s="344"/>
      <c r="M8" s="344"/>
      <c r="N8" s="344"/>
      <c r="O8" s="344"/>
      <c r="P8" s="344"/>
      <c r="Q8" s="344"/>
      <c r="R8" s="344"/>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3" t="s">
        <v>35</v>
      </c>
      <c r="J10" s="234"/>
      <c r="K10" s="234"/>
      <c r="L10" s="234"/>
      <c r="M10" s="234"/>
      <c r="N10" s="234"/>
      <c r="O10" s="234"/>
      <c r="P10" s="234"/>
      <c r="Q10" s="233" t="s">
        <v>13</v>
      </c>
      <c r="R10" s="235"/>
    </row>
    <row r="11" spans="1:18" ht="12.75">
      <c r="A11" s="52" t="s">
        <v>34</v>
      </c>
      <c r="B11" s="54" t="s">
        <v>32</v>
      </c>
      <c r="C11" s="52" t="str">
        <f t="shared" si="0"/>
        <v>Construção de Praças Urbanas, Rodovias, Ferrovias e recapeamento e pavimentação de vias urbanas-DF</v>
      </c>
      <c r="E11" s="55">
        <v>0.0102</v>
      </c>
      <c r="F11" s="55">
        <v>0.0111</v>
      </c>
      <c r="G11" s="55">
        <v>0.0121</v>
      </c>
      <c r="I11" s="334" t="s">
        <v>137</v>
      </c>
      <c r="J11" s="335"/>
      <c r="K11" s="335"/>
      <c r="L11" s="335"/>
      <c r="M11" s="335"/>
      <c r="N11" s="335"/>
      <c r="O11" s="335"/>
      <c r="P11" s="336"/>
      <c r="Q11" s="337" t="str">
        <f>DADOS!$C$38</f>
        <v>Sim</v>
      </c>
      <c r="R11" s="338"/>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31" t="s">
        <v>36</v>
      </c>
      <c r="J13" s="331"/>
      <c r="K13" s="331"/>
      <c r="L13" s="331"/>
      <c r="M13" s="331"/>
      <c r="N13" s="331"/>
      <c r="O13" s="331"/>
      <c r="P13" s="331"/>
      <c r="Q13" s="328">
        <v>1</v>
      </c>
      <c r="R13" s="328"/>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29" t="s">
        <v>38</v>
      </c>
      <c r="J14" s="329"/>
      <c r="K14" s="329"/>
      <c r="L14" s="329"/>
      <c r="M14" s="329"/>
      <c r="N14" s="329"/>
      <c r="O14" s="329"/>
      <c r="P14" s="329"/>
      <c r="Q14" s="328">
        <v>0.03</v>
      </c>
      <c r="R14" s="328"/>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30" t="s">
        <v>39</v>
      </c>
      <c r="J16" s="330"/>
      <c r="K16" s="330"/>
      <c r="L16" s="330"/>
      <c r="M16" s="330" t="s">
        <v>40</v>
      </c>
      <c r="N16" s="333" t="s">
        <v>41</v>
      </c>
      <c r="O16" s="333" t="s">
        <v>42</v>
      </c>
      <c r="P16" s="332" t="s">
        <v>43</v>
      </c>
      <c r="Q16" s="332" t="s">
        <v>44</v>
      </c>
      <c r="R16" s="349" t="s">
        <v>45</v>
      </c>
      <c r="T16" s="345">
        <f>IF(V27,"Para BDI fora do intervalo estatístico, deve ser apresentado Relatório Técnico Circunstanciado justificando a adoção do percentual de cada parcela do BDI.","")</f>
      </c>
      <c r="U16" s="345"/>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30"/>
      <c r="J17" s="330"/>
      <c r="K17" s="330"/>
      <c r="L17" s="330"/>
      <c r="M17" s="330"/>
      <c r="N17" s="333"/>
      <c r="O17" s="333"/>
      <c r="P17" s="332"/>
      <c r="Q17" s="332"/>
      <c r="R17" s="349"/>
      <c r="T17" s="345"/>
      <c r="U17" s="345"/>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47" t="str">
        <f>IF($I$11=$A$59,"Encargos Sociais incidentes sobre a mão de obra","Administração Central")</f>
        <v>Administração Central</v>
      </c>
      <c r="J18" s="347"/>
      <c r="K18" s="347"/>
      <c r="L18" s="347"/>
      <c r="M18" s="60" t="str">
        <f>IF($I$11=$A$59,"K1","AC")</f>
        <v>AC</v>
      </c>
      <c r="N18" s="61">
        <v>0.015</v>
      </c>
      <c r="O18" s="62" t="s">
        <v>46</v>
      </c>
      <c r="P18" s="63">
        <f>VLOOKUP(CONCATENATE(I$11,"-",M18),$C$2:$G$49,3,FALSE)</f>
        <v>0.015</v>
      </c>
      <c r="Q18" s="63">
        <f>VLOOKUP(CONCATENATE(I$11,"-",M18),$C$2:$G$49,4,FALSE)</f>
        <v>0.0345</v>
      </c>
      <c r="R18" s="63">
        <f>VLOOKUP(CONCATENATE(I$11,"-",M18),$C$2:$G$49,5,FALSE)</f>
        <v>0.0449</v>
      </c>
      <c r="T18" s="345"/>
      <c r="U18" s="345"/>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47" t="str">
        <f>IF($I$11=$A$59,"Administração Central da empresa ou consultoria - overhead","Seguro e Garantia")</f>
        <v>Seguro e Garantia</v>
      </c>
      <c r="J19" s="347"/>
      <c r="K19" s="347"/>
      <c r="L19" s="347"/>
      <c r="M19" s="60" t="str">
        <f>IF($I$11=$A$59,"K2","SG")</f>
        <v>SG</v>
      </c>
      <c r="N19" s="61">
        <v>0.0051</v>
      </c>
      <c r="O19" s="62" t="s">
        <v>46</v>
      </c>
      <c r="P19" s="63">
        <f>VLOOKUP(CONCATENATE(I$11,"-",M19),$C$2:$G$49,3,FALSE)</f>
        <v>0.003</v>
      </c>
      <c r="Q19" s="63">
        <f>VLOOKUP(CONCATENATE(I$11,"-",M19),$C$2:$G$49,4,FALSE)</f>
        <v>0.0048</v>
      </c>
      <c r="R19" s="63">
        <f>VLOOKUP(CONCATENATE(I$11,"-",M19),$C$2:$G$49,5,FALSE)</f>
        <v>0.008199999999999999</v>
      </c>
      <c r="T19" s="345"/>
      <c r="U19" s="345"/>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47" t="str">
        <f>IF($I$11=$A$59,"","Risco")</f>
        <v>Risco</v>
      </c>
      <c r="J20" s="347"/>
      <c r="K20" s="347"/>
      <c r="L20" s="347"/>
      <c r="M20" s="60" t="str">
        <f>IF($I$11=$A$59,"","R")</f>
        <v>R</v>
      </c>
      <c r="N20" s="61">
        <v>0.0085</v>
      </c>
      <c r="O20" s="62" t="s">
        <v>46</v>
      </c>
      <c r="P20" s="63">
        <f>VLOOKUP(CONCATENATE(I$11,"-",M20),$C$2:$G$49,3,FALSE)</f>
        <v>0.005600000000000001</v>
      </c>
      <c r="Q20" s="63">
        <f>VLOOKUP(CONCATENATE(I$11,"-",M20),$C$2:$G$49,4,FALSE)</f>
        <v>0.0085</v>
      </c>
      <c r="R20" s="63">
        <f>VLOOKUP(CONCATENATE(I$11,"-",M20),$C$2:$G$49,5,FALSE)</f>
        <v>0.0089</v>
      </c>
      <c r="T20" s="345"/>
      <c r="U20" s="345"/>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47" t="str">
        <f>IF($I$11=$A$59,"","Despesas Financeiras")</f>
        <v>Despesas Financeiras</v>
      </c>
      <c r="J21" s="347"/>
      <c r="K21" s="347"/>
      <c r="L21" s="347"/>
      <c r="M21" s="60" t="str">
        <f>IF($I$11=$A$59,"","DF")</f>
        <v>DF</v>
      </c>
      <c r="N21" s="61">
        <v>0.0085</v>
      </c>
      <c r="O21" s="62" t="s">
        <v>46</v>
      </c>
      <c r="P21" s="63">
        <f>VLOOKUP(CONCATENATE(I$11,"-",M21),$C$2:$G$49,3,FALSE)</f>
        <v>0.0085</v>
      </c>
      <c r="Q21" s="63">
        <f>VLOOKUP(CONCATENATE(I$11,"-",M21),$C$2:$G$49,4,FALSE)</f>
        <v>0.0085</v>
      </c>
      <c r="R21" s="63">
        <f>VLOOKUP(CONCATENATE(I$11,"-",M21),$C$2:$G$49,5,FALSE)</f>
        <v>0.0111</v>
      </c>
      <c r="T21" s="345"/>
      <c r="U21" s="345"/>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47" t="str">
        <f>IF($I$11=$A$59,"Margem bruta da empresa de consultoria","Lucro")</f>
        <v>Lucro</v>
      </c>
      <c r="J22" s="347"/>
      <c r="K22" s="347"/>
      <c r="L22" s="347"/>
      <c r="M22" s="60" t="str">
        <f>IF($I$11=$A$59,"K3","L")</f>
        <v>L</v>
      </c>
      <c r="N22" s="61">
        <v>0.051100000000000007</v>
      </c>
      <c r="O22" s="62" t="s">
        <v>46</v>
      </c>
      <c r="P22" s="63">
        <f>VLOOKUP(CONCATENATE(I$11,"-",M22),$C$2:$G$49,3,FALSE)</f>
        <v>0.035</v>
      </c>
      <c r="Q22" s="63">
        <f>VLOOKUP(CONCATENATE(I$11,"-",M22),$C$2:$G$49,4,FALSE)</f>
        <v>0.051100000000000007</v>
      </c>
      <c r="R22" s="63">
        <f>VLOOKUP(CONCATENATE(I$11,"-",M22),$C$2:$G$49,5,FALSE)</f>
        <v>0.0622</v>
      </c>
      <c r="T22" s="345"/>
      <c r="U22" s="345"/>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48" t="s">
        <v>48</v>
      </c>
      <c r="J23" s="348"/>
      <c r="K23" s="348"/>
      <c r="L23" s="348"/>
      <c r="M23" s="60" t="s">
        <v>49</v>
      </c>
      <c r="N23" s="61">
        <v>0.0365</v>
      </c>
      <c r="O23" s="62" t="s">
        <v>46</v>
      </c>
      <c r="P23" s="63">
        <v>0.0365</v>
      </c>
      <c r="Q23" s="63">
        <v>0.0365</v>
      </c>
      <c r="R23" s="63">
        <v>0.0365</v>
      </c>
      <c r="T23" s="345"/>
      <c r="U23" s="345"/>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47" t="s">
        <v>50</v>
      </c>
      <c r="J24" s="347"/>
      <c r="K24" s="347"/>
      <c r="L24" s="347"/>
      <c r="M24" s="60" t="s">
        <v>51</v>
      </c>
      <c r="N24" s="63">
        <f>IF($I$11&lt;&gt;$A$58,Q14*Q13,0)</f>
        <v>0.03</v>
      </c>
      <c r="O24" s="62" t="s">
        <v>46</v>
      </c>
      <c r="P24" s="63">
        <v>0</v>
      </c>
      <c r="Q24" s="63">
        <v>0.025</v>
      </c>
      <c r="R24" s="63">
        <v>0.05</v>
      </c>
      <c r="T24" s="345"/>
      <c r="U24" s="345"/>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47" t="s">
        <v>116</v>
      </c>
      <c r="J25" s="347"/>
      <c r="K25" s="347"/>
      <c r="L25" s="347"/>
      <c r="M25" s="60" t="s">
        <v>52</v>
      </c>
      <c r="N25" s="63">
        <f>IF(AND($I$11&lt;&gt;$A$58,Q11="Sim"),4.5%,0%)</f>
        <v>0.045</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47" t="s">
        <v>53</v>
      </c>
      <c r="J26" s="347"/>
      <c r="K26" s="347"/>
      <c r="L26" s="347"/>
      <c r="M26" s="65" t="s">
        <v>33</v>
      </c>
      <c r="N26" s="63">
        <f>IF($I$11=$A$58,0,ROUND((((1+N18+N19+N20)*(1+N21)*(1+N22)/(1-(N23+N24)))-1),4))</f>
        <v>0.168</v>
      </c>
      <c r="O26" s="106" t="str">
        <f>IF(OR($I$11=$A$59,$I$11=$A$58,AND(N26&gt;=P26,N26&lt;=R26)),"OK","FORA DO INTERVALO")</f>
        <v>OK</v>
      </c>
      <c r="P26" s="63">
        <f>IF($I$11=$A$58,0,VLOOKUP(CONCATENATE($I$11,"-",$M26),$C$2:$G$49,3,FALSE))</f>
        <v>0.111</v>
      </c>
      <c r="Q26" s="63">
        <f>IF($I$11=$A$58,0,VLOOKUP(CONCATENATE($I$11,"-",$M26),$C$2:$G$49,4,FALSE))</f>
        <v>0.1402</v>
      </c>
      <c r="R26" s="63">
        <f>IF($I$11=$A$58,0,VLOOKUP(CONCATENATE($I$11,"-",$M26),$C$2:$G$49,5,FALSE))</f>
        <v>0.168</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52" t="s">
        <v>55</v>
      </c>
      <c r="J27" s="352"/>
      <c r="K27" s="352"/>
      <c r="L27" s="352"/>
      <c r="M27" s="66" t="s">
        <v>56</v>
      </c>
      <c r="N27" s="67">
        <f>IF($I$11=$A$58,0,ROUND((((1+N18+N19+N20)*(1+N21)*(1+N22)/(1-(N23+N24+N25)))-1),4))</f>
        <v>0.2272</v>
      </c>
      <c r="O27" s="110" t="str">
        <f>IF(Q11&lt;&gt;"Sim","",O26)</f>
        <v>OK</v>
      </c>
      <c r="P27" s="353"/>
      <c r="Q27" s="353"/>
      <c r="R27" s="353"/>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51" t="s">
        <v>117</v>
      </c>
      <c r="K29" s="351"/>
      <c r="L29" s="351"/>
      <c r="M29" s="351"/>
      <c r="N29" s="351"/>
      <c r="O29" s="351"/>
      <c r="P29" s="351"/>
      <c r="Q29" s="351"/>
      <c r="R29" s="351"/>
      <c r="V29" s="111" t="b">
        <v>0</v>
      </c>
      <c r="W29" s="52" t="s">
        <v>119</v>
      </c>
    </row>
    <row r="30" spans="2:22" ht="7.5" customHeight="1">
      <c r="B30" s="54"/>
      <c r="E30" s="55"/>
      <c r="F30" s="55"/>
      <c r="G30" s="55"/>
      <c r="V30" s="111"/>
    </row>
    <row r="31" spans="2:18" ht="18.75" customHeight="1">
      <c r="B31" s="54"/>
      <c r="E31" s="55"/>
      <c r="F31" s="55"/>
      <c r="G31" s="55"/>
      <c r="I31" s="354" t="s">
        <v>61</v>
      </c>
      <c r="J31" s="354"/>
      <c r="K31" s="354"/>
      <c r="L31" s="354"/>
      <c r="M31" s="354"/>
      <c r="N31" s="354"/>
      <c r="O31" s="354"/>
      <c r="P31" s="354"/>
      <c r="Q31" s="354"/>
      <c r="R31" s="354"/>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27" t="str">
        <f>IF(Q11="Sim","BDI.DES =","BDI.PAD =")</f>
        <v>BDI.DES =</v>
      </c>
      <c r="M32" s="325" t="str">
        <f>IF($I$11=$A$59,"(1+K1+K2)*(1+K3)","(1+AC + S + R + G)*(1 + DF)*(1+L)")</f>
        <v>(1+AC + S + R + G)*(1 + DF)*(1+L)</v>
      </c>
      <c r="N32" s="325"/>
      <c r="O32" s="325"/>
      <c r="P32" s="323"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27"/>
      <c r="M33" s="326" t="str">
        <f>IF(Q11="Sim","(1-CP-ISS-CRPB)","(1-CP-ISS)")</f>
        <v>(1-CP-ISS-CRPB)</v>
      </c>
      <c r="N33" s="326"/>
      <c r="O33" s="326"/>
      <c r="P33" s="324"/>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50" t="str">
        <f>CONCATENATE("Declaro para os devidos fins que, conforme legislação tributária municipal, a base de cálculo para ",I11,", é de ",Q13*100,"%, com a respectiva alíquota de ",Q14*100,"%.")</f>
        <v>Declaro para os devidos fins que, conforme legislação tributária municipal, a base de cálculo para Fornecimento de Materiais e Equipamentos (aquisição indireta - em conjunto com licitação de obras), é de 100%, com a respectiva alíquota de 3%.</v>
      </c>
      <c r="J35" s="350"/>
      <c r="K35" s="350"/>
      <c r="L35" s="350"/>
      <c r="M35" s="350"/>
      <c r="N35" s="350"/>
      <c r="O35" s="350"/>
      <c r="P35" s="350"/>
      <c r="Q35" s="350"/>
      <c r="R35" s="350"/>
    </row>
    <row r="36" spans="2:7" ht="11.25" customHeight="1">
      <c r="B36" s="59"/>
      <c r="E36" s="55"/>
      <c r="F36" s="55"/>
      <c r="G36" s="55"/>
    </row>
    <row r="37" spans="2:18" ht="52.5" customHeight="1">
      <c r="B37" s="59"/>
      <c r="E37" s="55"/>
      <c r="F37" s="55"/>
      <c r="G37" s="55"/>
      <c r="I37" s="35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350"/>
      <c r="K37" s="350"/>
      <c r="L37" s="350"/>
      <c r="M37" s="350"/>
      <c r="N37" s="350"/>
      <c r="O37" s="350"/>
      <c r="P37" s="350"/>
      <c r="Q37" s="350"/>
      <c r="R37" s="350"/>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16"/>
      <c r="J40" s="317"/>
      <c r="K40" s="317"/>
      <c r="L40" s="317"/>
      <c r="M40" s="317"/>
      <c r="N40" s="317"/>
      <c r="O40" s="317"/>
      <c r="P40" s="317"/>
      <c r="Q40" s="317"/>
      <c r="R40" s="318"/>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46" t="str">
        <f>PO!K40</f>
        <v>CANDIOTA/RS</v>
      </c>
      <c r="J42" s="346"/>
      <c r="K42" s="346"/>
      <c r="L42" s="346"/>
      <c r="O42" s="314">
        <f>PO!K43</f>
        <v>43319</v>
      </c>
      <c r="P42" s="314"/>
      <c r="Q42" s="314"/>
      <c r="R42" s="314"/>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22" t="s">
        <v>120</v>
      </c>
      <c r="J43" s="322"/>
      <c r="K43" s="322"/>
      <c r="L43" s="322"/>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19" t="s">
        <v>57</v>
      </c>
      <c r="J46" s="319"/>
      <c r="K46" s="319"/>
      <c r="L46" s="319"/>
      <c r="M46" s="70"/>
      <c r="N46" s="70"/>
      <c r="O46" s="319" t="s">
        <v>58</v>
      </c>
      <c r="P46" s="319"/>
      <c r="Q46" s="319"/>
      <c r="R46" s="319"/>
    </row>
    <row r="47" spans="1:18" ht="14.25">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5">
        <f>DADOS!B54</f>
        <v>0</v>
      </c>
      <c r="K47" s="315"/>
      <c r="L47" s="315"/>
      <c r="M47" s="71"/>
      <c r="N47" s="71"/>
      <c r="O47" s="29" t="s">
        <v>140</v>
      </c>
      <c r="P47" s="320" t="s">
        <v>241</v>
      </c>
      <c r="Q47" s="320"/>
      <c r="R47" s="320"/>
    </row>
    <row r="48" spans="1:18" ht="14.25">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5">
        <f>DADOS!B55</f>
        <v>0</v>
      </c>
      <c r="K48" s="315"/>
      <c r="L48" s="315"/>
      <c r="M48" s="71"/>
      <c r="N48" s="71"/>
      <c r="O48" s="29" t="s">
        <v>60</v>
      </c>
      <c r="P48" s="320" t="s">
        <v>242</v>
      </c>
      <c r="Q48" s="320"/>
      <c r="R48" s="320"/>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5">
        <f>DADOS!B56</f>
        <v>0</v>
      </c>
      <c r="K49" s="315"/>
      <c r="L49" s="315"/>
      <c r="M49" s="71"/>
      <c r="N49" s="71"/>
      <c r="O49" s="71"/>
      <c r="P49" s="71"/>
      <c r="Q49" s="71"/>
      <c r="R49" s="71"/>
    </row>
    <row r="50" spans="9:12" ht="12.75">
      <c r="I50" s="29" t="str">
        <f>DADOS!A57</f>
        <v>CNPJ:</v>
      </c>
      <c r="J50" s="315">
        <f>DADOS!B57</f>
        <v>0</v>
      </c>
      <c r="K50" s="315"/>
      <c r="L50" s="315"/>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4.25" hidden="1">
      <c r="A60" s="72"/>
      <c r="B60" s="71"/>
      <c r="C60" s="71"/>
      <c r="D60" s="71"/>
      <c r="E60" s="71"/>
      <c r="F60" s="71"/>
      <c r="G60" s="71"/>
    </row>
  </sheetData>
  <sheetProtection password="C95B" sheet="1" objects="1" scenarios="1"/>
  <mergeCells count="55">
    <mergeCell ref="I4:J4"/>
    <mergeCell ref="K4:R4"/>
    <mergeCell ref="I5:J5"/>
    <mergeCell ref="K5:R5"/>
    <mergeCell ref="I7:R7"/>
    <mergeCell ref="I8:R8"/>
    <mergeCell ref="I10:P10"/>
    <mergeCell ref="Q10:R10"/>
    <mergeCell ref="I11:P11"/>
    <mergeCell ref="Q11:R11"/>
    <mergeCell ref="I13:P13"/>
    <mergeCell ref="Q13:R13"/>
    <mergeCell ref="I14:P14"/>
    <mergeCell ref="Q14:R14"/>
    <mergeCell ref="I16:L17"/>
    <mergeCell ref="M16:M17"/>
    <mergeCell ref="N16:N17"/>
    <mergeCell ref="O16:O17"/>
    <mergeCell ref="P16:P17"/>
    <mergeCell ref="Q16:Q17"/>
    <mergeCell ref="R16:R17"/>
    <mergeCell ref="T16:U24"/>
    <mergeCell ref="I18:L18"/>
    <mergeCell ref="I19:L19"/>
    <mergeCell ref="I20:L20"/>
    <mergeCell ref="I21:L21"/>
    <mergeCell ref="I22:L22"/>
    <mergeCell ref="I23:L23"/>
    <mergeCell ref="I24:L24"/>
    <mergeCell ref="I25:L25"/>
    <mergeCell ref="I26:L26"/>
    <mergeCell ref="I27:L27"/>
    <mergeCell ref="P27:R27"/>
    <mergeCell ref="J29:R29"/>
    <mergeCell ref="I31:R31"/>
    <mergeCell ref="L32:L33"/>
    <mergeCell ref="M32:O32"/>
    <mergeCell ref="P32:P33"/>
    <mergeCell ref="M33:O33"/>
    <mergeCell ref="I35:R35"/>
    <mergeCell ref="I37:R37"/>
    <mergeCell ref="I40:R40"/>
    <mergeCell ref="I42:L42"/>
    <mergeCell ref="O42:R42"/>
    <mergeCell ref="I43:L43"/>
    <mergeCell ref="I45:L45"/>
    <mergeCell ref="O45:R45"/>
    <mergeCell ref="J49:L49"/>
    <mergeCell ref="J50:L50"/>
    <mergeCell ref="I46:L46"/>
    <mergeCell ref="O46:R46"/>
    <mergeCell ref="J47:L47"/>
    <mergeCell ref="P47:R47"/>
    <mergeCell ref="J48:L48"/>
    <mergeCell ref="P48:R48"/>
  </mergeCells>
  <conditionalFormatting sqref="O42">
    <cfRule type="expression" priority="3" dxfId="244" stopIfTrue="1">
      <formula>$O$42=""</formula>
    </cfRule>
  </conditionalFormatting>
  <conditionalFormatting sqref="O18:O27">
    <cfRule type="expression" priority="8" dxfId="268" stopIfTrue="1">
      <formula>AND(O18&lt;&gt;"OK",O18&lt;&gt;"-",O18&lt;&gt;"")</formula>
    </cfRule>
    <cfRule type="cellIs" priority="9" dxfId="269" operator="equal" stopIfTrue="1">
      <formula>"OK"</formula>
    </cfRule>
  </conditionalFormatting>
  <conditionalFormatting sqref="I26:N26">
    <cfRule type="expression" priority="7" dxfId="247" stopIfTrue="1">
      <formula>$Q$11="Não"</formula>
    </cfRule>
  </conditionalFormatting>
  <conditionalFormatting sqref="I27:N27">
    <cfRule type="expression" priority="6" dxfId="270" stopIfTrue="1">
      <formula>$Q$11="sim"</formula>
    </cfRule>
  </conditionalFormatting>
  <conditionalFormatting sqref="P27:R27">
    <cfRule type="expression" priority="5" dxfId="268" stopIfTrue="1">
      <formula>$Q$11="sim"</formula>
    </cfRule>
  </conditionalFormatting>
  <conditionalFormatting sqref="P47:R48">
    <cfRule type="expression" priority="4" dxfId="244" stopIfTrue="1">
      <formula>P47=""</formula>
    </cfRule>
  </conditionalFormatting>
  <conditionalFormatting sqref="I29:R29">
    <cfRule type="expression" priority="2" dxfId="243" stopIfTrue="1">
      <formula>AND(NOT($V$27),NOT($V$29))</formula>
    </cfRule>
  </conditionalFormatting>
  <conditionalFormatting sqref="P18:R26">
    <cfRule type="expression" priority="1" dxfId="242" stopIfTrue="1">
      <formula>$I$11=$A$58</formula>
    </cfRule>
  </conditionalFormatting>
  <dataValidations count="6">
    <dataValidation type="decimal" allowBlank="1" showInputMessage="1" showErrorMessage="1" errorTitle="Erro de valores" error="Digite um valor entre 0% e 100%" sqref="N18:N2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allowBlank="1" showInputMessage="1" showErrorMessage="1" errorTitle="Erro de valores" error="Digite um valor maior do que 0." sqref="N24">
      <formula1>0</formula1>
      <formula2>1</formula2>
    </dataValidation>
    <dataValidation operator="greaterThanOrEqual" allowBlank="1" showInputMessage="1" showErrorMessage="1" errorTitle="Erro de valores" error="Digite um valor igual a 0% ou 2%." sqref="N25"/>
    <dataValidation type="list" allowBlank="1" showInputMessage="1" showErrorMessage="1" sqref="I11:P11">
      <formula1>$A$52:$A$59</formula1>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7" r:id="rId3"/>
  <headerFooter alignWithMargins="0">
    <oddHeader>&amp;C&amp;14I</oddHeader>
    <oddFooter>&amp;L27.476 v008   micro&amp;R&amp;P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Plan1">
    <tabColor rgb="FFFFFF00"/>
  </sheetPr>
  <dimension ref="A1:AA44"/>
  <sheetViews>
    <sheetView showGridLines="0" tabSelected="1" zoomScale="80" zoomScaleNormal="80" zoomScaleSheetLayoutView="100" zoomScalePageLayoutView="0" workbookViewId="0" topLeftCell="L1">
      <selection activeCell="Y13" sqref="Y13:Y28"/>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75" customHeight="1">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7" t="s">
        <v>181</v>
      </c>
      <c r="X2" s="357"/>
      <c r="Y2" s="4"/>
      <c r="Z2" s="4"/>
      <c r="AA2" s="4"/>
    </row>
    <row r="3" spans="1:27" ht="12.75" customHeight="1">
      <c r="A3" s="4"/>
      <c r="B3" s="4"/>
      <c r="D3" s="117"/>
      <c r="F3" s="5"/>
      <c r="G3" s="4"/>
      <c r="H3" s="4"/>
      <c r="I3" s="4"/>
      <c r="J3" s="4"/>
      <c r="K3" s="4"/>
      <c r="L3" s="4"/>
      <c r="M3" s="4"/>
      <c r="N3" s="131"/>
      <c r="O3" s="4"/>
      <c r="P3" s="4"/>
      <c r="Q3" s="4"/>
      <c r="R3" s="4"/>
      <c r="S3" s="4"/>
      <c r="T3" s="4"/>
      <c r="U3" s="4"/>
      <c r="V3" s="4"/>
      <c r="W3" s="211" t="s">
        <v>148</v>
      </c>
      <c r="X3" s="214" t="b">
        <v>1</v>
      </c>
      <c r="Y3" s="4"/>
      <c r="Z3" s="4"/>
      <c r="AA3" s="4"/>
    </row>
    <row r="4" spans="1:27" ht="24.75" customHeight="1">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75" customHeight="1">
      <c r="A5" s="9">
        <f>MAX($A$12:$A$29)</f>
        <v>1</v>
      </c>
      <c r="B5" s="4"/>
      <c r="D5" s="117"/>
      <c r="F5" s="5"/>
      <c r="G5" s="4"/>
      <c r="H5" s="4"/>
      <c r="I5" s="4"/>
      <c r="J5" s="4"/>
      <c r="K5" s="4"/>
      <c r="L5" s="4"/>
      <c r="M5" s="4"/>
      <c r="N5" s="4"/>
      <c r="O5" s="4"/>
      <c r="P5" s="4"/>
      <c r="Q5" s="4"/>
      <c r="R5" s="4"/>
      <c r="S5" s="4"/>
      <c r="T5" s="4"/>
      <c r="U5" s="119" t="str">
        <f ca="1">IF(COUNTIF($U$12:OFFSET($U$29,-1,0),"DESCRIÇÃO")+COUNTIF($U$12:OFFSET($U$29,-1,0),"UNIDADE")+COUNTIF($U$12:OFFSET($U$29,-1,0),"SEM VALOR")&gt;0,"NÃO OK","OK")</f>
        <v>NÃO OK</v>
      </c>
      <c r="V5" s="212" t="s">
        <v>106</v>
      </c>
      <c r="W5" s="211" t="s">
        <v>183</v>
      </c>
      <c r="X5" s="214" t="b">
        <v>1</v>
      </c>
      <c r="Y5" s="4"/>
      <c r="Z5" s="4"/>
      <c r="AA5" s="4"/>
    </row>
    <row r="6" spans="1:27" ht="24.75" customHeight="1">
      <c r="A6" s="4"/>
      <c r="B6" s="4"/>
      <c r="D6" s="117"/>
      <c r="F6" s="5"/>
      <c r="G6" s="4"/>
      <c r="H6" s="4"/>
      <c r="I6" s="4"/>
      <c r="J6" s="4"/>
      <c r="K6" s="82"/>
      <c r="L6" s="4"/>
      <c r="M6" s="4"/>
      <c r="N6" s="4"/>
      <c r="O6" s="4"/>
      <c r="P6" s="4"/>
      <c r="Q6" s="4"/>
      <c r="R6" s="4"/>
      <c r="S6" s="4"/>
      <c r="T6" s="4"/>
      <c r="U6" s="4"/>
      <c r="V6" s="4"/>
      <c r="W6" s="211" t="s">
        <v>184</v>
      </c>
      <c r="X6" s="214" t="b">
        <v>1</v>
      </c>
      <c r="Y6" s="4"/>
      <c r="Z6" s="4"/>
      <c r="AA6" s="4"/>
    </row>
    <row r="7" spans="1:27" ht="24.75" customHeight="1">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IF(OR($A11="S",$A11=0),0,MATCH(0,OFFSET($B11,1,$A11,ROW($A$29)-ROW($A11)),0))</f>
        <v>0</v>
      </c>
      <c r="I11">
        <f ca="1">IF(OR($A11="S",$A11=0),0,MATCH(OFFSET($B11,0,$A11)+1,OFFSET($B11,1,$A11,ROW($A$29)-ROW($A11)),0))</f>
        <v>0</v>
      </c>
      <c r="J11" s="120" t="s">
        <v>103</v>
      </c>
      <c r="K11" s="162" t="e">
        <f>IF($A11=0,"-",CONCATENATE(C11&amp;".",IF(AND($A$5&gt;=2,$A11&gt;=2),D11&amp;".",""),IF(AND($A$5&gt;=3,$A11&gt;=3),E11&amp;".",""),IF(AND($A$5&gt;=4,$A11&gt;=4),F11&amp;".",""),IF($A11="S",G11&amp;".","")))</f>
        <v>#VALUE!</v>
      </c>
      <c r="L11" s="209"/>
      <c r="M11" s="209"/>
      <c r="N11" s="230">
        <f>IF($A11="S",Referencia.Descricao,"(digite a descrição aqui)")</f>
      </c>
      <c r="O11" s="229">
        <f>Referencia.Unidade</f>
      </c>
      <c r="P11" s="232"/>
      <c r="Q11" s="228"/>
      <c r="R11" s="231" t="s">
        <v>7</v>
      </c>
      <c r="S11" s="121">
        <f>IF($A11="S",IF($Q$10="Preço Unitário (R$)",PO.CustoUnitario,ROUND(PO.CustoUnitario*(1+$Z11),15-13*$X$6)),0)</f>
        <v>0</v>
      </c>
      <c r="T11" s="98">
        <f>IF($A11="S",VTOTAL1,IF($A11=0,0,ROUND(SomaAgrup,15-13*$X$7)))</f>
        <v>0</v>
      </c>
      <c r="U11" s="13" t="str">
        <f>IF($J11="","",IF($N11="","DESCRIÇÃO",IF(AND($J11="Serviço",$O11=""),"UNIDADE",IF($T11&lt;=0,"SEM VALOR",IF(AND($Y11&lt;&gt;"",$Q11&gt;$Y11),"ACIMA REF.","")))))</f>
        <v>DESCRIÇÃO</v>
      </c>
      <c r="V11" s="4">
        <f ca="1">IF(OR($A11=0,$A11="S",$A11&gt;CFF!$A$9),"",MAX(V$12:OFFSET(V11,-1,0))+1)</f>
      </c>
      <c r="W11" s="9" t="b">
        <f>IF(AND($J11="Serviço",$M11&lt;&gt;""),IF($L11="",$M11,CONCATENATE($L11,"-",$M11)))</f>
        <v>0</v>
      </c>
      <c r="X11" s="4" t="str">
        <f ca="1">IF(AND(Fonte&lt;&gt;"",Código&lt;&gt;""),MATCH(Fonte&amp;" "&amp;IF(Fonte="sinapi",SUBSTITUTE(SUBSTITUTE(Código,"/00","/"),"/0","/"),Código),INDIRECT("'[Referência "&amp;DATABASE&amp;".xls]Banco'!$a:$a"),0),"X")</f>
        <v>X</v>
      </c>
      <c r="Y11" s="121">
        <f>IF(Import.Desoneracao="sim",Referencia.Desonerado,Referencia.NaoDesonerado)</f>
        <v>0</v>
      </c>
      <c r="Z11" s="132">
        <f>ROUND(IF(ISNUMBER(R11),R11,IF(LEFT(R11,3)="BDI",HLOOKUP(R11,DADOS!$T$37:$X$38,2,FALSE),0)),15-11*$X$5)</f>
        <v>0.3052</v>
      </c>
      <c r="AA11" s="4"/>
    </row>
    <row r="12" spans="1:27" ht="12.75">
      <c r="A12">
        <v>0</v>
      </c>
      <c r="B12">
        <f ca="1">COUNTA(OFFSET(B12,1,0):B$29)</f>
        <v>16</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SUMIF(OFFSET($J12,1,0,ROW(T29)-ROW(T12)-1),"Serviço",OFFSET(T12,1,0,ROW(T29)-ROW(T12)-1))</f>
        <v>0</v>
      </c>
      <c r="U12" s="13" t="str">
        <f>IF($N12=0,"DESCRIÇÃO","")</f>
        <v>DESCRIÇÃO</v>
      </c>
      <c r="V12" s="4">
        <v>0</v>
      </c>
      <c r="W12" s="4"/>
      <c r="X12" s="4"/>
      <c r="Y12" s="11"/>
      <c r="Z12" s="133"/>
      <c r="AA12" s="4"/>
    </row>
    <row r="13" spans="1:27" ht="12.75">
      <c r="A13">
        <f aca="true" t="shared" si="0" ref="A13:A27">CHOOSE(1+LOG(1+2*(J13="Meta")+4*(J13="Nível 2")+8*(J13="Nível 3")+16*(J13="Nível 4")+32*(J13="Serviço"),2),0,1,2,3,4,"S")</f>
        <v>1</v>
      </c>
      <c r="B13">
        <f aca="true" t="shared" si="1" ref="B13:B27">IF(OR(A13="S",A13=0),0,IF(ISERROR(I13),H13,SMALL(H13:I13,1)))</f>
        <v>3</v>
      </c>
      <c r="C13">
        <f aca="true" ca="1" t="shared" si="2" ref="C13:C27">IF($A13=1,OFFSET(C13,-1,0)+1,OFFSET(C13,-1,0))</f>
        <v>1</v>
      </c>
      <c r="D13">
        <f aca="true" ca="1" t="shared" si="3" ref="D13:D27">IF($A13=1,0,IF($A13=2,OFFSET(D13,-1,0)+1,OFFSET(D13,-1,0)))</f>
        <v>0</v>
      </c>
      <c r="E13">
        <f aca="true" ca="1" t="shared" si="4" ref="E13:E27">IF(AND($A13&lt;=2,$A13&lt;&gt;0),0,IF($A13=3,OFFSET(E13,-1,0)+1,OFFSET(E13,-1,0)))</f>
        <v>0</v>
      </c>
      <c r="F13">
        <f aca="true" ca="1" t="shared" si="5" ref="F13:F27">IF(AND($A13&lt;=3,$A13&lt;&gt;0),0,IF($A13=4,OFFSET(F13,-1,0)+1,OFFSET(F13,-1,0)))</f>
        <v>0</v>
      </c>
      <c r="G13">
        <f aca="true" ca="1" t="shared" si="6" ref="G13:G27">IF(AND($A13&lt;=4,$A13&lt;&gt;0),0,IF($A13="S",OFFSET(G13,-1,0)+1,OFFSET(G13,-1,0)))</f>
        <v>0</v>
      </c>
      <c r="H13">
        <f aca="true" ca="1" t="shared" si="7" ref="H13:H27">IF(OR($A13="S",$A13=0),0,MATCH(0,OFFSET($B13,1,$A13,ROW($A$29)-ROW($A13)),0))</f>
        <v>16</v>
      </c>
      <c r="I13">
        <f aca="true" ca="1" t="shared" si="8" ref="I13:I27">IF(OR($A13="S",$A13=0),0,MATCH(OFFSET($B13,0,$A13)+1,OFFSET($B13,1,$A13,ROW($A$29)-ROW($A13)),0))</f>
        <v>3</v>
      </c>
      <c r="J13" s="164" t="s">
        <v>99</v>
      </c>
      <c r="K13" s="162" t="str">
        <f aca="true" t="shared" si="9" ref="K13:K27">IF($A13=0,"-",CONCATENATE(C13&amp;".",IF(AND($A$5&gt;=2,$A13&gt;=2),D13&amp;".",""),IF(AND($A$5&gt;=3,$A13&gt;=3),E13&amp;".",""),IF(AND($A$5&gt;=4,$A13&gt;=4),F13&amp;".",""),IF($A13="S",G13&amp;".","")))</f>
        <v>1.</v>
      </c>
      <c r="L13" s="394"/>
      <c r="M13" s="394"/>
      <c r="N13" s="395" t="s">
        <v>253</v>
      </c>
      <c r="O13" s="396" t="s">
        <v>106</v>
      </c>
      <c r="P13" s="397">
        <v>0</v>
      </c>
      <c r="Q13" s="228"/>
      <c r="R13" s="231" t="s">
        <v>7</v>
      </c>
      <c r="S13" s="121">
        <f aca="true" t="shared" si="10" ref="S13:S27">IF($A13="S",IF($Q$10="Preço Unitário (R$)",PO.CustoUnitario,ROUND(PO.CustoUnitario*(1+$Z13),15-13*$X$6)),0)</f>
        <v>0</v>
      </c>
      <c r="T13" s="98">
        <f aca="true" t="shared" si="11" ref="T13:T27">IF($A13="S",VTOTAL1,IF($A13=0,0,ROUND(SomaAgrup,15-13*$X$7)))</f>
        <v>0</v>
      </c>
      <c r="U13" s="13" t="str">
        <f aca="true" t="shared" si="12" ref="U13:U27">IF($J13="","",IF($N13="","DESCRIÇÃO",IF(AND($J13="Serviço",$O13=""),"UNIDADE",IF($T13&lt;=0,"SEM VALOR",IF(AND($Y13&lt;&gt;"",$Q13&gt;$Y13),"ACIMA REF.","")))))</f>
        <v>SEM VALOR</v>
      </c>
      <c r="V13" s="4">
        <f ca="1">IF(OR($A13=0,$A13="S",$A13&gt;CFF!$A$9),"",MAX(V$12:OFFSET(V13,-1,0))+1)</f>
        <v>1</v>
      </c>
      <c r="W13" s="9" t="b">
        <f aca="true" t="shared" si="13" ref="W13:W27">IF(AND($J13="Serviço",$M13&lt;&gt;""),IF($L13="",$M13,CONCATENATE($L13,"-",$M13)))</f>
        <v>0</v>
      </c>
      <c r="X13" s="4" t="str">
        <f aca="true" ca="1" t="shared" si="14" ref="X13:X27">IF(AND(Fonte&lt;&gt;"",Código&lt;&gt;""),MATCH(Fonte&amp;" "&amp;IF(Fonte="sinapi",SUBSTITUTE(SUBSTITUTE(Código,"/00","/"),"/0","/"),Código),INDIRECT("'[Referência "&amp;DATABASE&amp;".xls]Banco'!$a:$a"),0),"X")</f>
        <v>X</v>
      </c>
      <c r="Y13" s="121">
        <v>0</v>
      </c>
      <c r="Z13" s="132">
        <f>ROUND(IF(ISNUMBER(R13),R13,IF(LEFT(R13,3)="BDI",HLOOKUP(R13,DADOS!$T$37:$X$38,2,FALSE),0)),15-11*$X$5)</f>
        <v>0.3052</v>
      </c>
      <c r="AA13" s="4"/>
    </row>
    <row r="14" spans="1:27" ht="12.75">
      <c r="A14" t="str">
        <f t="shared" si="0"/>
        <v>S</v>
      </c>
      <c r="B14">
        <f t="shared" si="1"/>
        <v>0</v>
      </c>
      <c r="C14">
        <f ca="1" t="shared" si="2"/>
        <v>1</v>
      </c>
      <c r="D14">
        <f ca="1" t="shared" si="3"/>
        <v>0</v>
      </c>
      <c r="E14">
        <f ca="1" t="shared" si="4"/>
        <v>0</v>
      </c>
      <c r="F14">
        <f ca="1" t="shared" si="5"/>
        <v>0</v>
      </c>
      <c r="G14">
        <f ca="1" t="shared" si="6"/>
        <v>1</v>
      </c>
      <c r="H14">
        <f ca="1" t="shared" si="7"/>
        <v>0</v>
      </c>
      <c r="I14">
        <f ca="1" t="shared" si="8"/>
        <v>0</v>
      </c>
      <c r="J14" s="393" t="s">
        <v>103</v>
      </c>
      <c r="K14" s="162" t="str">
        <f t="shared" si="9"/>
        <v>1.1.</v>
      </c>
      <c r="L14" s="394" t="s">
        <v>229</v>
      </c>
      <c r="M14" s="394" t="s">
        <v>255</v>
      </c>
      <c r="N14" s="395" t="s">
        <v>266</v>
      </c>
      <c r="O14" s="396" t="s">
        <v>247</v>
      </c>
      <c r="P14" s="397">
        <v>6.4</v>
      </c>
      <c r="Q14" s="228"/>
      <c r="R14" s="231" t="s">
        <v>7</v>
      </c>
      <c r="S14" s="121">
        <f t="shared" si="10"/>
        <v>0</v>
      </c>
      <c r="T14" s="98">
        <f t="shared" si="11"/>
        <v>0</v>
      </c>
      <c r="U14" s="13" t="str">
        <f t="shared" si="12"/>
        <v>SEM VALOR</v>
      </c>
      <c r="V14" s="4">
        <f ca="1">IF(OR($A14=0,$A14="S",$A14&gt;CFF!$A$9),"",MAX(V$12:OFFSET(V14,-1,0))+1)</f>
      </c>
      <c r="W14" s="9" t="str">
        <f t="shared" si="13"/>
        <v>SINAPI-74209/1</v>
      </c>
      <c r="X14" s="4">
        <f ca="1" t="shared" si="14"/>
        <v>5682</v>
      </c>
      <c r="Y14" s="121">
        <v>396.65</v>
      </c>
      <c r="Z14" s="132">
        <f>ROUND(IF(ISNUMBER(R14),R14,IF(LEFT(R14,3)="BDI",HLOOKUP(R14,DADOS!$T$37:$X$38,2,FALSE),0)),15-11*$X$5)</f>
        <v>0.3052</v>
      </c>
      <c r="AA14" s="4"/>
    </row>
    <row r="15" spans="1:27" ht="25.5">
      <c r="A15" t="str">
        <f t="shared" si="0"/>
        <v>S</v>
      </c>
      <c r="B15">
        <f t="shared" si="1"/>
        <v>0</v>
      </c>
      <c r="C15">
        <f ca="1" t="shared" si="2"/>
        <v>1</v>
      </c>
      <c r="D15">
        <f ca="1" t="shared" si="3"/>
        <v>0</v>
      </c>
      <c r="E15">
        <f ca="1" t="shared" si="4"/>
        <v>0</v>
      </c>
      <c r="F15">
        <f ca="1" t="shared" si="5"/>
        <v>0</v>
      </c>
      <c r="G15">
        <f ca="1" t="shared" si="6"/>
        <v>2</v>
      </c>
      <c r="H15">
        <f ca="1" t="shared" si="7"/>
        <v>0</v>
      </c>
      <c r="I15">
        <f ca="1" t="shared" si="8"/>
        <v>0</v>
      </c>
      <c r="J15" s="393" t="s">
        <v>103</v>
      </c>
      <c r="K15" s="162" t="str">
        <f t="shared" si="9"/>
        <v>1.2.</v>
      </c>
      <c r="L15" s="394" t="s">
        <v>229</v>
      </c>
      <c r="M15" s="394" t="s">
        <v>254</v>
      </c>
      <c r="N15" s="395" t="s">
        <v>267</v>
      </c>
      <c r="O15" s="396" t="s">
        <v>247</v>
      </c>
      <c r="P15" s="397">
        <v>2295.25</v>
      </c>
      <c r="Q15" s="228"/>
      <c r="R15" s="231" t="s">
        <v>7</v>
      </c>
      <c r="S15" s="121">
        <f t="shared" si="10"/>
        <v>0</v>
      </c>
      <c r="T15" s="98">
        <f t="shared" si="11"/>
        <v>0</v>
      </c>
      <c r="U15" s="13" t="str">
        <f t="shared" si="12"/>
        <v>SEM VALOR</v>
      </c>
      <c r="V15" s="4">
        <f ca="1">IF(OR($A15=0,$A15="S",$A15&gt;CFF!$A$9),"",MAX(V$12:OFFSET(V15,-1,0))+1)</f>
      </c>
      <c r="W15" s="9" t="str">
        <f t="shared" si="13"/>
        <v>SINAPI-78472</v>
      </c>
      <c r="X15" s="4">
        <f ca="1" t="shared" si="14"/>
        <v>11464</v>
      </c>
      <c r="Y15" s="121">
        <v>0.44</v>
      </c>
      <c r="Z15" s="132">
        <f>ROUND(IF(ISNUMBER(R15),R15,IF(LEFT(R15,3)="BDI",HLOOKUP(R15,DADOS!$T$37:$X$38,2,FALSE),0)),15-11*$X$5)</f>
        <v>0.3052</v>
      </c>
      <c r="AA15" s="4"/>
    </row>
    <row r="16" spans="1:27" ht="12.75">
      <c r="A16">
        <f t="shared" si="0"/>
        <v>1</v>
      </c>
      <c r="B16">
        <f t="shared" si="1"/>
        <v>6</v>
      </c>
      <c r="C16">
        <f ca="1" t="shared" si="2"/>
        <v>2</v>
      </c>
      <c r="D16">
        <f ca="1" t="shared" si="3"/>
        <v>0</v>
      </c>
      <c r="E16">
        <f ca="1" t="shared" si="4"/>
        <v>0</v>
      </c>
      <c r="F16">
        <f ca="1" t="shared" si="5"/>
        <v>0</v>
      </c>
      <c r="G16">
        <f ca="1" t="shared" si="6"/>
        <v>0</v>
      </c>
      <c r="H16">
        <f ca="1" t="shared" si="7"/>
        <v>13</v>
      </c>
      <c r="I16">
        <f ca="1" t="shared" si="8"/>
        <v>6</v>
      </c>
      <c r="J16" s="393" t="s">
        <v>99</v>
      </c>
      <c r="K16" s="162" t="str">
        <f t="shared" si="9"/>
        <v>2.</v>
      </c>
      <c r="L16" s="394"/>
      <c r="M16" s="394"/>
      <c r="N16" s="395" t="s">
        <v>257</v>
      </c>
      <c r="O16" s="396" t="s">
        <v>106</v>
      </c>
      <c r="P16" s="397"/>
      <c r="Q16" s="228"/>
      <c r="R16" s="231" t="s">
        <v>7</v>
      </c>
      <c r="S16" s="121">
        <f t="shared" si="10"/>
        <v>0</v>
      </c>
      <c r="T16" s="98">
        <f t="shared" si="11"/>
        <v>0</v>
      </c>
      <c r="U16" s="13" t="str">
        <f t="shared" si="12"/>
        <v>SEM VALOR</v>
      </c>
      <c r="V16" s="4">
        <f ca="1">IF(OR($A16=0,$A16="S",$A16&gt;CFF!$A$9),"",MAX(V$12:OFFSET(V16,-1,0))+1)</f>
        <v>2</v>
      </c>
      <c r="W16" s="9" t="b">
        <f t="shared" si="13"/>
        <v>0</v>
      </c>
      <c r="X16" s="4" t="str">
        <f ca="1" t="shared" si="14"/>
        <v>X</v>
      </c>
      <c r="Y16" s="121">
        <v>0</v>
      </c>
      <c r="Z16" s="132">
        <f>ROUND(IF(ISNUMBER(R16),R16,IF(LEFT(R16,3)="BDI",HLOOKUP(R16,DADOS!$T$37:$X$38,2,FALSE),0)),15-11*$X$5)</f>
        <v>0.3052</v>
      </c>
      <c r="AA16" s="4"/>
    </row>
    <row r="17" spans="1:27" ht="38.25">
      <c r="A17" t="str">
        <f t="shared" si="0"/>
        <v>S</v>
      </c>
      <c r="B17">
        <f t="shared" si="1"/>
        <v>0</v>
      </c>
      <c r="C17">
        <f ca="1" t="shared" si="2"/>
        <v>2</v>
      </c>
      <c r="D17">
        <f ca="1" t="shared" si="3"/>
        <v>0</v>
      </c>
      <c r="E17">
        <f ca="1" t="shared" si="4"/>
        <v>0</v>
      </c>
      <c r="F17">
        <f ca="1" t="shared" si="5"/>
        <v>0</v>
      </c>
      <c r="G17">
        <f ca="1" t="shared" si="6"/>
        <v>1</v>
      </c>
      <c r="H17">
        <f ca="1" t="shared" si="7"/>
        <v>0</v>
      </c>
      <c r="I17">
        <f ca="1" t="shared" si="8"/>
        <v>0</v>
      </c>
      <c r="J17" s="393" t="s">
        <v>103</v>
      </c>
      <c r="K17" s="162" t="str">
        <f t="shared" si="9"/>
        <v>2.1.</v>
      </c>
      <c r="L17" s="394" t="s">
        <v>229</v>
      </c>
      <c r="M17" s="394" t="s">
        <v>258</v>
      </c>
      <c r="N17" s="395" t="s">
        <v>268</v>
      </c>
      <c r="O17" s="396" t="s">
        <v>274</v>
      </c>
      <c r="P17" s="397">
        <v>15.36</v>
      </c>
      <c r="Q17" s="228"/>
      <c r="R17" s="231" t="s">
        <v>7</v>
      </c>
      <c r="S17" s="121">
        <f t="shared" si="10"/>
        <v>0</v>
      </c>
      <c r="T17" s="98">
        <f t="shared" si="11"/>
        <v>0</v>
      </c>
      <c r="U17" s="13" t="str">
        <f t="shared" si="12"/>
        <v>SEM VALOR</v>
      </c>
      <c r="V17" s="4">
        <f ca="1">IF(OR($A17=0,$A17="S",$A17&gt;CFF!$A$9),"",MAX(V$12:OFFSET(V17,-1,0))+1)</f>
      </c>
      <c r="W17" s="9" t="str">
        <f t="shared" si="13"/>
        <v>SINAPI-90099</v>
      </c>
      <c r="X17" s="4">
        <f ca="1" t="shared" si="14"/>
        <v>10098</v>
      </c>
      <c r="Y17" s="121">
        <v>13.74</v>
      </c>
      <c r="Z17" s="132">
        <f>ROUND(IF(ISNUMBER(R17),R17,IF(LEFT(R17,3)="BDI",HLOOKUP(R17,DADOS!$T$37:$X$38,2,FALSE),0)),15-11*$X$5)</f>
        <v>0.3052</v>
      </c>
      <c r="AA17" s="4"/>
    </row>
    <row r="18" spans="1:27" ht="12.75">
      <c r="A18" t="str">
        <f t="shared" si="0"/>
        <v>S</v>
      </c>
      <c r="B18">
        <f t="shared" si="1"/>
        <v>0</v>
      </c>
      <c r="C18">
        <f ca="1" t="shared" si="2"/>
        <v>2</v>
      </c>
      <c r="D18">
        <f ca="1" t="shared" si="3"/>
        <v>0</v>
      </c>
      <c r="E18">
        <f ca="1" t="shared" si="4"/>
        <v>0</v>
      </c>
      <c r="F18">
        <f ca="1" t="shared" si="5"/>
        <v>0</v>
      </c>
      <c r="G18">
        <f ca="1" t="shared" si="6"/>
        <v>2</v>
      </c>
      <c r="H18">
        <f ca="1" t="shared" si="7"/>
        <v>0</v>
      </c>
      <c r="I18">
        <f ca="1" t="shared" si="8"/>
        <v>0</v>
      </c>
      <c r="J18" s="393" t="s">
        <v>103</v>
      </c>
      <c r="K18" s="162" t="str">
        <f t="shared" si="9"/>
        <v>2.2.</v>
      </c>
      <c r="L18" s="394" t="s">
        <v>230</v>
      </c>
      <c r="M18" s="394" t="s">
        <v>262</v>
      </c>
      <c r="N18" s="395" t="s">
        <v>269</v>
      </c>
      <c r="O18" s="396" t="s">
        <v>245</v>
      </c>
      <c r="P18" s="397">
        <v>16</v>
      </c>
      <c r="Q18" s="228"/>
      <c r="R18" s="231" t="s">
        <v>7</v>
      </c>
      <c r="S18" s="121">
        <f t="shared" si="10"/>
        <v>0</v>
      </c>
      <c r="T18" s="98">
        <f t="shared" si="11"/>
        <v>0</v>
      </c>
      <c r="U18" s="13" t="str">
        <f t="shared" si="12"/>
        <v>SEM VALOR</v>
      </c>
      <c r="V18" s="4">
        <f ca="1">IF(OR($A18=0,$A18="S",$A18&gt;CFF!$A$9),"",MAX(V$12:OFFSET(V18,-1,0))+1)</f>
      </c>
      <c r="W18" s="9" t="str">
        <f t="shared" si="13"/>
        <v>SINAPI-I-12578</v>
      </c>
      <c r="X18" s="4">
        <f ca="1" t="shared" si="14"/>
        <v>4908</v>
      </c>
      <c r="Y18" s="121">
        <v>192.7</v>
      </c>
      <c r="Z18" s="132">
        <f>ROUND(IF(ISNUMBER(R18),R18,IF(LEFT(R18,3)="BDI",HLOOKUP(R18,DADOS!$T$37:$X$38,2,FALSE),0)),15-11*$X$5)</f>
        <v>0.3052</v>
      </c>
      <c r="AA18" s="4"/>
    </row>
    <row r="19" spans="1:27" ht="38.25">
      <c r="A19" t="str">
        <f t="shared" si="0"/>
        <v>S</v>
      </c>
      <c r="B19">
        <f t="shared" si="1"/>
        <v>0</v>
      </c>
      <c r="C19">
        <f ca="1" t="shared" si="2"/>
        <v>2</v>
      </c>
      <c r="D19">
        <f ca="1" t="shared" si="3"/>
        <v>0</v>
      </c>
      <c r="E19">
        <f ca="1" t="shared" si="4"/>
        <v>0</v>
      </c>
      <c r="F19">
        <f ca="1" t="shared" si="5"/>
        <v>0</v>
      </c>
      <c r="G19">
        <f ca="1" t="shared" si="6"/>
        <v>3</v>
      </c>
      <c r="H19">
        <f ca="1" t="shared" si="7"/>
        <v>0</v>
      </c>
      <c r="I19">
        <f ca="1" t="shared" si="8"/>
        <v>0</v>
      </c>
      <c r="J19" s="393" t="s">
        <v>103</v>
      </c>
      <c r="K19" s="162" t="str">
        <f t="shared" si="9"/>
        <v>2.3.</v>
      </c>
      <c r="L19" s="394" t="s">
        <v>229</v>
      </c>
      <c r="M19" s="394" t="s">
        <v>259</v>
      </c>
      <c r="N19" s="395" t="s">
        <v>270</v>
      </c>
      <c r="O19" s="396" t="s">
        <v>245</v>
      </c>
      <c r="P19" s="397">
        <v>16</v>
      </c>
      <c r="Q19" s="228"/>
      <c r="R19" s="231" t="s">
        <v>7</v>
      </c>
      <c r="S19" s="121">
        <f t="shared" si="10"/>
        <v>0</v>
      </c>
      <c r="T19" s="98">
        <f t="shared" si="11"/>
        <v>0</v>
      </c>
      <c r="U19" s="13" t="str">
        <f t="shared" si="12"/>
        <v>SEM VALOR</v>
      </c>
      <c r="V19" s="4">
        <f ca="1">IF(OR($A19=0,$A19="S",$A19&gt;CFF!$A$9),"",MAX(V$12:OFFSET(V19,-1,0))+1)</f>
      </c>
      <c r="W19" s="9" t="str">
        <f t="shared" si="13"/>
        <v>SINAPI-92809</v>
      </c>
      <c r="X19" s="4">
        <f ca="1" t="shared" si="14"/>
        <v>5561</v>
      </c>
      <c r="Y19" s="121">
        <v>46.54</v>
      </c>
      <c r="Z19" s="132">
        <f>ROUND(IF(ISNUMBER(R19),R19,IF(LEFT(R19,3)="BDI",HLOOKUP(R19,DADOS!$T$37:$X$38,2,FALSE),0)),15-11*$X$5)</f>
        <v>0.3052</v>
      </c>
      <c r="AA19" s="4"/>
    </row>
    <row r="20" spans="1:27" ht="38.25">
      <c r="A20" t="str">
        <f t="shared" si="0"/>
        <v>S</v>
      </c>
      <c r="B20">
        <f t="shared" si="1"/>
        <v>0</v>
      </c>
      <c r="C20">
        <f ca="1" t="shared" si="2"/>
        <v>2</v>
      </c>
      <c r="D20">
        <f ca="1" t="shared" si="3"/>
        <v>0</v>
      </c>
      <c r="E20">
        <f ca="1" t="shared" si="4"/>
        <v>0</v>
      </c>
      <c r="F20">
        <f ca="1" t="shared" si="5"/>
        <v>0</v>
      </c>
      <c r="G20">
        <f ca="1" t="shared" si="6"/>
        <v>4</v>
      </c>
      <c r="H20">
        <f ca="1" t="shared" si="7"/>
        <v>0</v>
      </c>
      <c r="I20">
        <f ca="1" t="shared" si="8"/>
        <v>0</v>
      </c>
      <c r="J20" s="393" t="s">
        <v>103</v>
      </c>
      <c r="K20" s="162" t="str">
        <f t="shared" si="9"/>
        <v>2.4.</v>
      </c>
      <c r="L20" s="394" t="s">
        <v>229</v>
      </c>
      <c r="M20" s="394" t="s">
        <v>260</v>
      </c>
      <c r="N20" s="395" t="s">
        <v>271</v>
      </c>
      <c r="O20" s="396" t="s">
        <v>274</v>
      </c>
      <c r="P20" s="397">
        <v>9.2</v>
      </c>
      <c r="Q20" s="228"/>
      <c r="R20" s="231" t="s">
        <v>7</v>
      </c>
      <c r="S20" s="121">
        <f t="shared" si="10"/>
        <v>0</v>
      </c>
      <c r="T20" s="98">
        <f t="shared" si="11"/>
        <v>0</v>
      </c>
      <c r="U20" s="13" t="str">
        <f t="shared" si="12"/>
        <v>SEM VALOR</v>
      </c>
      <c r="V20" s="4">
        <f ca="1">IF(OR($A20=0,$A20="S",$A20&gt;CFF!$A$9),"",MAX(V$12:OFFSET(V20,-1,0))+1)</f>
      </c>
      <c r="W20" s="9" t="str">
        <f t="shared" si="13"/>
        <v>SINAPI-93380</v>
      </c>
      <c r="X20" s="4">
        <f ca="1" t="shared" si="14"/>
        <v>10155</v>
      </c>
      <c r="Y20" s="121">
        <v>13.61</v>
      </c>
      <c r="Z20" s="132">
        <f>ROUND(IF(ISNUMBER(R20),R20,IF(LEFT(R20,3)="BDI",HLOOKUP(R20,DADOS!$T$37:$X$38,2,FALSE),0)),15-11*$X$5)</f>
        <v>0.3052</v>
      </c>
      <c r="AA20" s="4"/>
    </row>
    <row r="21" spans="1:27" ht="25.5">
      <c r="A21" t="str">
        <f t="shared" si="0"/>
        <v>S</v>
      </c>
      <c r="B21">
        <f t="shared" si="1"/>
        <v>0</v>
      </c>
      <c r="C21">
        <f ca="1" t="shared" si="2"/>
        <v>2</v>
      </c>
      <c r="D21">
        <f ca="1" t="shared" si="3"/>
        <v>0</v>
      </c>
      <c r="E21">
        <f ca="1" t="shared" si="4"/>
        <v>0</v>
      </c>
      <c r="F21">
        <f ca="1" t="shared" si="5"/>
        <v>0</v>
      </c>
      <c r="G21">
        <f ca="1" t="shared" si="6"/>
        <v>5</v>
      </c>
      <c r="H21">
        <f ca="1" t="shared" si="7"/>
        <v>0</v>
      </c>
      <c r="I21">
        <f ca="1" t="shared" si="8"/>
        <v>0</v>
      </c>
      <c r="J21" s="393" t="s">
        <v>103</v>
      </c>
      <c r="K21" s="162" t="str">
        <f t="shared" si="9"/>
        <v>2.5.</v>
      </c>
      <c r="L21" s="394" t="s">
        <v>229</v>
      </c>
      <c r="M21" s="394" t="s">
        <v>261</v>
      </c>
      <c r="N21" s="395" t="s">
        <v>272</v>
      </c>
      <c r="O21" s="396" t="s">
        <v>275</v>
      </c>
      <c r="P21" s="397">
        <v>4</v>
      </c>
      <c r="Q21" s="228"/>
      <c r="R21" s="231" t="s">
        <v>7</v>
      </c>
      <c r="S21" s="121">
        <f t="shared" si="10"/>
        <v>0</v>
      </c>
      <c r="T21" s="98">
        <f t="shared" si="11"/>
        <v>0</v>
      </c>
      <c r="U21" s="13" t="str">
        <f t="shared" si="12"/>
        <v>SEM VALOR</v>
      </c>
      <c r="V21" s="4">
        <f ca="1">IF(OR($A21=0,$A21="S",$A21&gt;CFF!$A$9),"",MAX(V$12:OFFSET(V21,-1,0))+1)</f>
      </c>
      <c r="W21" s="9" t="str">
        <f t="shared" si="13"/>
        <v>SINAPI-83659</v>
      </c>
      <c r="X21" s="4">
        <f ca="1" t="shared" si="14"/>
        <v>6818</v>
      </c>
      <c r="Y21" s="121">
        <v>882.94</v>
      </c>
      <c r="Z21" s="132">
        <f>ROUND(IF(ISNUMBER(R21),R21,IF(LEFT(R21,3)="BDI",HLOOKUP(R21,DADOS!$T$37:$X$38,2,FALSE),0)),15-11*$X$5)</f>
        <v>0.3052</v>
      </c>
      <c r="AA21" s="4"/>
    </row>
    <row r="22" spans="1:27" ht="12.75">
      <c r="A22">
        <f t="shared" si="0"/>
        <v>1</v>
      </c>
      <c r="B22">
        <f t="shared" si="1"/>
        <v>7</v>
      </c>
      <c r="C22">
        <f ca="1" t="shared" si="2"/>
        <v>3</v>
      </c>
      <c r="D22">
        <f ca="1" t="shared" si="3"/>
        <v>0</v>
      </c>
      <c r="E22">
        <f ca="1" t="shared" si="4"/>
        <v>0</v>
      </c>
      <c r="F22">
        <f ca="1" t="shared" si="5"/>
        <v>0</v>
      </c>
      <c r="G22">
        <f ca="1" t="shared" si="6"/>
        <v>0</v>
      </c>
      <c r="H22">
        <f ca="1" t="shared" si="7"/>
        <v>7</v>
      </c>
      <c r="I22" t="e">
        <f ca="1" t="shared" si="8"/>
        <v>#N/A</v>
      </c>
      <c r="J22" s="393" t="s">
        <v>99</v>
      </c>
      <c r="K22" s="162" t="str">
        <f t="shared" si="9"/>
        <v>3.</v>
      </c>
      <c r="L22" s="394"/>
      <c r="M22" s="394"/>
      <c r="N22" s="395" t="s">
        <v>231</v>
      </c>
      <c r="O22" s="396" t="s">
        <v>106</v>
      </c>
      <c r="P22" s="397"/>
      <c r="Q22" s="228"/>
      <c r="R22" s="231" t="s">
        <v>7</v>
      </c>
      <c r="S22" s="121">
        <f t="shared" si="10"/>
        <v>0</v>
      </c>
      <c r="T22" s="98">
        <f t="shared" si="11"/>
        <v>0</v>
      </c>
      <c r="U22" s="13" t="str">
        <f t="shared" si="12"/>
        <v>SEM VALOR</v>
      </c>
      <c r="V22" s="4">
        <f ca="1">IF(OR($A22=0,$A22="S",$A22&gt;CFF!$A$9),"",MAX(V$12:OFFSET(V22,-1,0))+1)</f>
        <v>3</v>
      </c>
      <c r="W22" s="9" t="b">
        <f t="shared" si="13"/>
        <v>0</v>
      </c>
      <c r="X22" s="4" t="str">
        <f ca="1" t="shared" si="14"/>
        <v>X</v>
      </c>
      <c r="Y22" s="121">
        <v>0</v>
      </c>
      <c r="Z22" s="132">
        <f>ROUND(IF(ISNUMBER(R22),R22,IF(LEFT(R22,3)="BDI",HLOOKUP(R22,DADOS!$T$37:$X$38,2,FALSE),0)),15-11*$X$5)</f>
        <v>0.3052</v>
      </c>
      <c r="AA22" s="4"/>
    </row>
    <row r="23" spans="1:27" ht="12.75">
      <c r="A23" t="str">
        <f t="shared" si="0"/>
        <v>S</v>
      </c>
      <c r="B23">
        <f t="shared" si="1"/>
        <v>0</v>
      </c>
      <c r="C23">
        <f ca="1" t="shared" si="2"/>
        <v>3</v>
      </c>
      <c r="D23">
        <f ca="1" t="shared" si="3"/>
        <v>0</v>
      </c>
      <c r="E23">
        <f ca="1" t="shared" si="4"/>
        <v>0</v>
      </c>
      <c r="F23">
        <f ca="1" t="shared" si="5"/>
        <v>0</v>
      </c>
      <c r="G23">
        <f ca="1" t="shared" si="6"/>
        <v>1</v>
      </c>
      <c r="H23">
        <f ca="1" t="shared" si="7"/>
        <v>0</v>
      </c>
      <c r="I23">
        <f ca="1" t="shared" si="8"/>
        <v>0</v>
      </c>
      <c r="J23" s="393" t="s">
        <v>103</v>
      </c>
      <c r="K23" s="162" t="str">
        <f t="shared" si="9"/>
        <v>3.1.</v>
      </c>
      <c r="L23" s="394" t="s">
        <v>229</v>
      </c>
      <c r="M23" s="394" t="s">
        <v>232</v>
      </c>
      <c r="N23" s="395" t="s">
        <v>246</v>
      </c>
      <c r="O23" s="396" t="s">
        <v>247</v>
      </c>
      <c r="P23" s="397">
        <v>2295.25</v>
      </c>
      <c r="Q23" s="228"/>
      <c r="R23" s="231" t="s">
        <v>7</v>
      </c>
      <c r="S23" s="121">
        <f t="shared" si="10"/>
        <v>0</v>
      </c>
      <c r="T23" s="98">
        <f t="shared" si="11"/>
        <v>0</v>
      </c>
      <c r="U23" s="13" t="str">
        <f t="shared" si="12"/>
        <v>SEM VALOR</v>
      </c>
      <c r="V23" s="4">
        <f ca="1">IF(OR($A23=0,$A23="S",$A23&gt;CFF!$A$9),"",MAX(V$12:OFFSET(V23,-1,0))+1)</f>
      </c>
      <c r="W23" s="9" t="str">
        <f t="shared" si="13"/>
        <v>SINAPI-72961</v>
      </c>
      <c r="X23" s="4">
        <f ca="1" t="shared" si="14"/>
        <v>10427</v>
      </c>
      <c r="Y23" s="121">
        <v>1.59</v>
      </c>
      <c r="Z23" s="132">
        <f>ROUND(IF(ISNUMBER(R23),R23,IF(LEFT(R23,3)="BDI",HLOOKUP(R23,DADOS!$T$37:$X$38,2,FALSE),0)),15-11*$X$5)</f>
        <v>0.3052</v>
      </c>
      <c r="AA23" s="4"/>
    </row>
    <row r="24" spans="1:27" ht="25.5">
      <c r="A24" t="str">
        <f t="shared" si="0"/>
        <v>S</v>
      </c>
      <c r="B24">
        <f t="shared" si="1"/>
        <v>0</v>
      </c>
      <c r="C24">
        <f ca="1" t="shared" si="2"/>
        <v>3</v>
      </c>
      <c r="D24">
        <f ca="1" t="shared" si="3"/>
        <v>0</v>
      </c>
      <c r="E24">
        <f ca="1" t="shared" si="4"/>
        <v>0</v>
      </c>
      <c r="F24">
        <f ca="1" t="shared" si="5"/>
        <v>0</v>
      </c>
      <c r="G24">
        <f ca="1" t="shared" si="6"/>
        <v>2</v>
      </c>
      <c r="H24">
        <f ca="1" t="shared" si="7"/>
        <v>0</v>
      </c>
      <c r="I24">
        <f ca="1" t="shared" si="8"/>
        <v>0</v>
      </c>
      <c r="J24" s="393" t="s">
        <v>103</v>
      </c>
      <c r="K24" s="162" t="str">
        <f t="shared" si="9"/>
        <v>3.2.</v>
      </c>
      <c r="L24" s="394" t="s">
        <v>230</v>
      </c>
      <c r="M24" s="394" t="s">
        <v>235</v>
      </c>
      <c r="N24" s="395" t="s">
        <v>248</v>
      </c>
      <c r="O24" s="396" t="s">
        <v>247</v>
      </c>
      <c r="P24" s="397">
        <v>2295.25</v>
      </c>
      <c r="Q24" s="228"/>
      <c r="R24" s="231" t="s">
        <v>8</v>
      </c>
      <c r="S24" s="121">
        <f t="shared" si="10"/>
        <v>0</v>
      </c>
      <c r="T24" s="98">
        <f t="shared" si="11"/>
        <v>0</v>
      </c>
      <c r="U24" s="13" t="str">
        <f t="shared" si="12"/>
        <v>SEM VALOR</v>
      </c>
      <c r="V24" s="4">
        <f ca="1">IF(OR($A24=0,$A24="S",$A24&gt;CFF!$A$9),"",MAX(V$12:OFFSET(V24,-1,0))+1)</f>
      </c>
      <c r="W24" s="9" t="str">
        <f t="shared" si="13"/>
        <v>SINAPI-I-36170</v>
      </c>
      <c r="X24" s="4">
        <f ca="1" t="shared" si="14"/>
        <v>588</v>
      </c>
      <c r="Y24" s="121">
        <v>39.27</v>
      </c>
      <c r="Z24" s="132">
        <f>ROUND(IF(ISNUMBER(R24),R24,IF(LEFT(R24,3)="BDI",HLOOKUP(R24,DADOS!$T$37:$X$38,2,FALSE),0)),15-11*$X$5)</f>
        <v>0.2272</v>
      </c>
      <c r="AA24" s="4"/>
    </row>
    <row r="25" spans="1:27" ht="12.75">
      <c r="A25" t="str">
        <f>CHOOSE(1+LOG(1+2*(J25="Meta")+4*(J25="Nível 2")+8*(J25="Nível 3")+16*(J25="Nível 4")+32*(J25="Serviço"),2),0,1,2,3,4,"S")</f>
        <v>S</v>
      </c>
      <c r="B25">
        <f>IF(OR(A25="S",A25=0),0,IF(ISERROR(I25),H25,SMALL(H25:I25,1)))</f>
        <v>0</v>
      </c>
      <c r="C25">
        <f ca="1">IF($A25=1,OFFSET(C25,-1,0)+1,OFFSET(C25,-1,0))</f>
        <v>3</v>
      </c>
      <c r="D25">
        <f ca="1">IF($A25=1,0,IF($A25=2,OFFSET(D25,-1,0)+1,OFFSET(D25,-1,0)))</f>
        <v>0</v>
      </c>
      <c r="E25">
        <f ca="1">IF(AND($A25&lt;=2,$A25&lt;&gt;0),0,IF($A25=3,OFFSET(E25,-1,0)+1,OFFSET(E25,-1,0)))</f>
        <v>0</v>
      </c>
      <c r="F25">
        <f ca="1">IF(AND($A25&lt;=3,$A25&lt;&gt;0),0,IF($A25=4,OFFSET(F25,-1,0)+1,OFFSET(F25,-1,0)))</f>
        <v>0</v>
      </c>
      <c r="G25">
        <f ca="1">IF(AND($A25&lt;=4,$A25&lt;&gt;0),0,IF($A25="S",OFFSET(G25,-1,0)+1,OFFSET(G25,-1,0)))</f>
        <v>3</v>
      </c>
      <c r="H25">
        <f ca="1" t="shared" si="7"/>
        <v>0</v>
      </c>
      <c r="I25">
        <f ca="1" t="shared" si="8"/>
        <v>0</v>
      </c>
      <c r="J25" s="393" t="s">
        <v>103</v>
      </c>
      <c r="K25" s="162" t="str">
        <f>IF($A25=0,"-",CONCATENATE(C25&amp;".",IF(AND($A$5&gt;=2,$A25&gt;=2),D25&amp;".",""),IF(AND($A$5&gt;=3,$A25&gt;=3),E25&amp;".",""),IF(AND($A$5&gt;=4,$A25&gt;=4),F25&amp;".",""),IF($A25="S",G25&amp;".","")))</f>
        <v>3.3.</v>
      </c>
      <c r="L25" s="394" t="s">
        <v>243</v>
      </c>
      <c r="M25" s="394" t="s">
        <v>244</v>
      </c>
      <c r="N25" s="395" t="s">
        <v>249</v>
      </c>
      <c r="O25" s="396" t="s">
        <v>247</v>
      </c>
      <c r="P25" s="397">
        <v>2295.25</v>
      </c>
      <c r="Q25" s="228"/>
      <c r="R25" s="231" t="s">
        <v>7</v>
      </c>
      <c r="S25" s="121">
        <f>IF($A25="S",IF($Q$10="Preço Unitário (R$)",PO.CustoUnitario,ROUND(PO.CustoUnitario*(1+$Z25),15-13*$X$6)),0)</f>
        <v>0</v>
      </c>
      <c r="T25" s="98">
        <f>IF($A25="S",VTOTAL1,IF($A25=0,0,ROUND(SomaAgrup,15-13*$X$7)))</f>
        <v>0</v>
      </c>
      <c r="U25" s="13" t="str">
        <f>IF($J25="","",IF($N25="","DESCRIÇÃO",IF(AND($J25="Serviço",$O25=""),"UNIDADE",IF($T25&lt;=0,"SEM VALOR",IF(AND($Y25&lt;&gt;"",$Q25&gt;$Y25),"ACIMA REF.","")))))</f>
        <v>SEM VALOR</v>
      </c>
      <c r="V25" s="4">
        <f ca="1">IF(OR($A25=0,$A25="S",$A25&gt;CFF!$A$9),"",MAX(V$12:OFFSET(V25,-1,0))+1)</f>
      </c>
      <c r="W25" s="9" t="str">
        <f>IF(AND($J25="Serviço",$M25&lt;&gt;""),IF($L25="",$M25,CONCATENATE($L25,"-",$M25)))</f>
        <v>CÓDIGO-001</v>
      </c>
      <c r="X25" s="4">
        <f ca="1">IF(AND(Fonte&lt;&gt;"",Código&lt;&gt;""),MATCH(Fonte&amp;" "&amp;IF(Fonte="sinapi",SUBSTITUTE(SUBSTITUTE(Código,"/00","/"),"/0","/"),Código),INDIRECT("'[Referência "&amp;DATABASE&amp;".xls]Banco'!$a:$a"),0),"X")</f>
        <v>7</v>
      </c>
      <c r="Y25" s="121">
        <v>16.71</v>
      </c>
      <c r="Z25" s="132">
        <f>ROUND(IF(ISNUMBER(R25),R25,IF(LEFT(R25,3)="BDI",HLOOKUP(R25,DADOS!$T$37:$X$38,2,FALSE),0)),15-11*$X$5)</f>
        <v>0.3052</v>
      </c>
      <c r="AA25" s="4"/>
    </row>
    <row r="26" spans="1:27" ht="12.75">
      <c r="A26" t="str">
        <f t="shared" si="0"/>
        <v>S</v>
      </c>
      <c r="B26">
        <f t="shared" si="1"/>
        <v>0</v>
      </c>
      <c r="C26">
        <f ca="1" t="shared" si="2"/>
        <v>3</v>
      </c>
      <c r="D26">
        <f ca="1" t="shared" si="3"/>
        <v>0</v>
      </c>
      <c r="E26">
        <f ca="1" t="shared" si="4"/>
        <v>0</v>
      </c>
      <c r="F26">
        <f ca="1" t="shared" si="5"/>
        <v>0</v>
      </c>
      <c r="G26">
        <f ca="1" t="shared" si="6"/>
        <v>4</v>
      </c>
      <c r="H26">
        <f ca="1" t="shared" si="7"/>
        <v>0</v>
      </c>
      <c r="I26">
        <f ca="1" t="shared" si="8"/>
        <v>0</v>
      </c>
      <c r="J26" s="393" t="s">
        <v>103</v>
      </c>
      <c r="K26" s="162" t="str">
        <f t="shared" si="9"/>
        <v>3.4.</v>
      </c>
      <c r="L26" s="394" t="s">
        <v>229</v>
      </c>
      <c r="M26" s="394" t="s">
        <v>233</v>
      </c>
      <c r="N26" s="395" t="s">
        <v>250</v>
      </c>
      <c r="O26" s="396" t="s">
        <v>251</v>
      </c>
      <c r="P26" s="397">
        <v>64047.8</v>
      </c>
      <c r="Q26" s="228"/>
      <c r="R26" s="231" t="s">
        <v>7</v>
      </c>
      <c r="S26" s="121">
        <f t="shared" si="10"/>
        <v>0</v>
      </c>
      <c r="T26" s="98">
        <f t="shared" si="11"/>
        <v>0</v>
      </c>
      <c r="U26" s="13" t="str">
        <f t="shared" si="12"/>
        <v>SEM VALOR</v>
      </c>
      <c r="V26" s="4">
        <f ca="1">IF(OR($A26=0,$A26="S",$A26&gt;CFF!$A$9),"",MAX(V$12:OFFSET(V26,-1,0))+1)</f>
      </c>
      <c r="W26" s="9" t="str">
        <f t="shared" si="13"/>
        <v>SINAPI-72840</v>
      </c>
      <c r="X26" s="4">
        <f ca="1" t="shared" si="14"/>
        <v>10161</v>
      </c>
      <c r="Y26" s="121">
        <v>0.74</v>
      </c>
      <c r="Z26" s="132">
        <f>ROUND(IF(ISNUMBER(R26),R26,IF(LEFT(R26,3)="BDI",HLOOKUP(R26,DADOS!$T$37:$X$38,2,FALSE),0)),15-11*$X$5)</f>
        <v>0.3052</v>
      </c>
      <c r="AA26" s="4"/>
    </row>
    <row r="27" spans="1:27" ht="38.25">
      <c r="A27" t="str">
        <f t="shared" si="0"/>
        <v>S</v>
      </c>
      <c r="B27">
        <f t="shared" si="1"/>
        <v>0</v>
      </c>
      <c r="C27">
        <f ca="1" t="shared" si="2"/>
        <v>3</v>
      </c>
      <c r="D27">
        <f ca="1" t="shared" si="3"/>
        <v>0</v>
      </c>
      <c r="E27">
        <f ca="1" t="shared" si="4"/>
        <v>0</v>
      </c>
      <c r="F27">
        <f ca="1" t="shared" si="5"/>
        <v>0</v>
      </c>
      <c r="G27">
        <f ca="1" t="shared" si="6"/>
        <v>5</v>
      </c>
      <c r="H27">
        <f ca="1" t="shared" si="7"/>
        <v>0</v>
      </c>
      <c r="I27">
        <f ca="1" t="shared" si="8"/>
        <v>0</v>
      </c>
      <c r="J27" s="393" t="s">
        <v>103</v>
      </c>
      <c r="K27" s="162" t="str">
        <f t="shared" si="9"/>
        <v>3.5.</v>
      </c>
      <c r="L27" s="394" t="s">
        <v>229</v>
      </c>
      <c r="M27" s="394" t="s">
        <v>234</v>
      </c>
      <c r="N27" s="395" t="s">
        <v>252</v>
      </c>
      <c r="O27" s="396" t="s">
        <v>245</v>
      </c>
      <c r="P27" s="397">
        <v>752.89</v>
      </c>
      <c r="Q27" s="228"/>
      <c r="R27" s="231" t="s">
        <v>7</v>
      </c>
      <c r="S27" s="121">
        <f t="shared" si="10"/>
        <v>0</v>
      </c>
      <c r="T27" s="98">
        <f t="shared" si="11"/>
        <v>0</v>
      </c>
      <c r="U27" s="13" t="str">
        <f t="shared" si="12"/>
        <v>SEM VALOR</v>
      </c>
      <c r="V27" s="4">
        <f ca="1">IF(OR($A27=0,$A27="S",$A27&gt;CFF!$A$9),"",MAX(V$12:OFFSET(V27,-1,0))+1)</f>
      </c>
      <c r="W27" s="9" t="str">
        <f t="shared" si="13"/>
        <v>SINAPI-94273</v>
      </c>
      <c r="X27" s="4">
        <f ca="1" t="shared" si="14"/>
        <v>6923</v>
      </c>
      <c r="Y27" s="121">
        <v>45.24</v>
      </c>
      <c r="Z27" s="132">
        <f>ROUND(IF(ISNUMBER(R27),R27,IF(LEFT(R27,3)="BDI",HLOOKUP(R27,DADOS!$T$37:$X$38,2,FALSE),0)),15-11*$X$5)</f>
        <v>0.3052</v>
      </c>
      <c r="AA27" s="4"/>
    </row>
    <row r="28" spans="1:27" ht="12.75">
      <c r="A28" t="str">
        <f>CHOOSE(1+LOG(1+2*(J28="Meta")+4*(J28="Nível 2")+8*(J28="Nível 3")+16*(J28="Nível 4")+32*(J28="Serviço"),2),0,1,2,3,4,"S")</f>
        <v>S</v>
      </c>
      <c r="B28">
        <f>IF(OR(A28="S",A28=0),0,IF(ISERROR(I28),H28,SMALL(H28:I28,1)))</f>
        <v>0</v>
      </c>
      <c r="C28">
        <f ca="1">IF($A28=1,OFFSET(C28,-1,0)+1,OFFSET(C28,-1,0))</f>
        <v>3</v>
      </c>
      <c r="D28">
        <f ca="1">IF($A28=1,0,IF($A28=2,OFFSET(D28,-1,0)+1,OFFSET(D28,-1,0)))</f>
        <v>0</v>
      </c>
      <c r="E28">
        <f ca="1">IF(AND($A28&lt;=2,$A28&lt;&gt;0),0,IF($A28=3,OFFSET(E28,-1,0)+1,OFFSET(E28,-1,0)))</f>
        <v>0</v>
      </c>
      <c r="F28">
        <f ca="1">IF(AND($A28&lt;=3,$A28&lt;&gt;0),0,IF($A28=4,OFFSET(F28,-1,0)+1,OFFSET(F28,-1,0)))</f>
        <v>0</v>
      </c>
      <c r="G28">
        <f ca="1">IF(AND($A28&lt;=4,$A28&lt;&gt;0),0,IF($A28="S",OFFSET(G28,-1,0)+1,OFFSET(G28,-1,0)))</f>
        <v>6</v>
      </c>
      <c r="H28">
        <f ca="1">IF(OR($A28="S",$A28=0),0,MATCH(0,OFFSET($B28,1,$A28,ROW($A$29)-ROW($A28)),0))</f>
        <v>0</v>
      </c>
      <c r="I28">
        <f ca="1">IF(OR($A28="S",$A28=0),0,MATCH(OFFSET($B28,0,$A28)+1,OFFSET($B28,1,$A28,ROW($A$29)-ROW($A28)),0))</f>
        <v>0</v>
      </c>
      <c r="J28" s="393" t="s">
        <v>103</v>
      </c>
      <c r="K28" s="162" t="str">
        <f>IF($A28=0,"-",CONCATENATE(C28&amp;".",IF(AND($A$5&gt;=2,$A28&gt;=2),D28&amp;".",""),IF(AND($A$5&gt;=3,$A28&gt;=3),E28&amp;".",""),IF(AND($A$5&gt;=4,$A28&gt;=4),F28&amp;".",""),IF($A28="S",G28&amp;".","")))</f>
        <v>3.6.</v>
      </c>
      <c r="L28" s="394" t="s">
        <v>229</v>
      </c>
      <c r="M28" s="394" t="s">
        <v>263</v>
      </c>
      <c r="N28" s="395" t="s">
        <v>273</v>
      </c>
      <c r="O28" s="396" t="s">
        <v>274</v>
      </c>
      <c r="P28" s="397">
        <v>225.867</v>
      </c>
      <c r="Q28" s="228"/>
      <c r="R28" s="231" t="s">
        <v>7</v>
      </c>
      <c r="S28" s="121">
        <f>IF($A28="S",IF($Q$10="Preço Unitário (R$)",PO.CustoUnitario,ROUND(PO.CustoUnitario*(1+$Z28),15-13*$X$6)),0)</f>
        <v>0</v>
      </c>
      <c r="T28" s="98">
        <f>IF($A28="S",VTOTAL1,IF($A28=0,0,ROUND(SomaAgrup,15-13*$X$7)))</f>
        <v>0</v>
      </c>
      <c r="U28" s="13" t="str">
        <f>IF($J28="","",IF($N28="","DESCRIÇÃO",IF(AND($J28="Serviço",$O28=""),"UNIDADE",IF($T28&lt;=0,"SEM VALOR",IF(AND($Y28&lt;&gt;"",$Q28&gt;$Y28),"ACIMA REF.","")))))</f>
        <v>SEM VALOR</v>
      </c>
      <c r="V28" s="4">
        <f ca="1">IF(OR($A28=0,$A28="S",$A28&gt;CFF!$A$9),"",MAX(V$12:OFFSET(V28,-1,0))+1)</f>
      </c>
      <c r="W28" s="9" t="str">
        <f>IF(AND($J28="Serviço",$M28&lt;&gt;""),IF($L28="",$M28,CONCATENATE($L28,"-",$M28)))</f>
        <v>SINAPI-94342</v>
      </c>
      <c r="X28" s="4">
        <f ca="1">IF(AND(Fonte&lt;&gt;"",Código&lt;&gt;""),MATCH(Fonte&amp;" "&amp;IF(Fonte="sinapi",SUBSTITUTE(SUBSTITUTE(Código,"/00","/"),"/0","/"),Código),INDIRECT("'[Referência "&amp;DATABASE&amp;".xls]Banco'!$a:$a"),0),"X")</f>
        <v>10131</v>
      </c>
      <c r="Y28" s="121">
        <v>98.46</v>
      </c>
      <c r="Z28" s="132">
        <f>ROUND(IF(ISNUMBER(R28),R28,IF(LEFT(R28,3)="BDI",HLOOKUP(R28,DADOS!$T$37:$X$38,2,FALSE),0)),15-11*$X$5)</f>
        <v>0.3052</v>
      </c>
      <c r="AA28" s="4"/>
    </row>
    <row r="29" spans="1:27" ht="12.75">
      <c r="A29">
        <v>-1</v>
      </c>
      <c r="C29">
        <v>0</v>
      </c>
      <c r="D29">
        <v>0</v>
      </c>
      <c r="E29">
        <v>0</v>
      </c>
      <c r="F29">
        <v>0</v>
      </c>
      <c r="G29">
        <v>0</v>
      </c>
      <c r="J29" s="83"/>
      <c r="K29" s="83"/>
      <c r="L29" s="83"/>
      <c r="M29" s="83"/>
      <c r="N29" s="83"/>
      <c r="O29" s="83"/>
      <c r="P29" s="83"/>
      <c r="Q29" s="83"/>
      <c r="R29" s="83"/>
      <c r="S29" s="83"/>
      <c r="T29" s="83"/>
      <c r="U29" s="4"/>
      <c r="V29" s="4"/>
      <c r="W29" s="4"/>
      <c r="X29" s="4"/>
      <c r="Y29" s="4"/>
      <c r="Z29" s="4"/>
      <c r="AA29" s="4"/>
    </row>
    <row r="30" spans="1:27" ht="14.25">
      <c r="A30" s="4"/>
      <c r="B30" s="4"/>
      <c r="C30" s="4"/>
      <c r="D30" s="4"/>
      <c r="E30" s="4"/>
      <c r="F30" s="4"/>
      <c r="G30" s="4"/>
      <c r="H30" s="4"/>
      <c r="I30" s="4"/>
      <c r="J30" s="4"/>
      <c r="K30" s="84" t="s">
        <v>62</v>
      </c>
      <c r="L30" s="4"/>
      <c r="M30" s="367" t="s">
        <v>141</v>
      </c>
      <c r="N30" s="368"/>
      <c r="O30" s="368"/>
      <c r="P30" s="368"/>
      <c r="Q30" s="368"/>
      <c r="R30" s="368"/>
      <c r="S30" s="368"/>
      <c r="T30" s="369"/>
      <c r="U30" s="4"/>
      <c r="V30" s="4"/>
      <c r="W30" s="4"/>
      <c r="X30" s="4"/>
      <c r="Y30" s="4"/>
      <c r="Z30" s="4"/>
      <c r="AA30" s="4"/>
    </row>
    <row r="31" spans="1:27" ht="12.75">
      <c r="A31" s="4"/>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14.25">
      <c r="A32" s="4"/>
      <c r="B32" s="4"/>
      <c r="C32" s="4"/>
      <c r="D32" s="4"/>
      <c r="E32" s="4"/>
      <c r="F32" s="4"/>
      <c r="G32" s="4"/>
      <c r="H32" s="4"/>
      <c r="I32" s="4"/>
      <c r="J32" s="4"/>
      <c r="K32" s="90" t="s">
        <v>21</v>
      </c>
      <c r="L32" s="20"/>
      <c r="M32" s="20"/>
      <c r="N32" s="20"/>
      <c r="O32" s="20"/>
      <c r="P32" s="20"/>
      <c r="Q32" s="20"/>
      <c r="R32" s="20"/>
      <c r="S32" s="20"/>
      <c r="T32" s="89"/>
      <c r="U32" s="4"/>
      <c r="V32" s="4"/>
      <c r="W32" s="4"/>
      <c r="X32" s="4"/>
      <c r="Y32" s="4"/>
      <c r="Z32" s="4"/>
      <c r="AA32" s="4"/>
    </row>
    <row r="33" spans="1:27" ht="12.75" customHeight="1">
      <c r="A33" s="4"/>
      <c r="B33" s="4"/>
      <c r="C33" s="4"/>
      <c r="D33" s="4"/>
      <c r="E33" s="4"/>
      <c r="F33" s="4"/>
      <c r="G33" s="4"/>
      <c r="H33" s="4"/>
      <c r="I33" s="4"/>
      <c r="J33" s="4"/>
      <c r="K33" s="361"/>
      <c r="L33" s="362"/>
      <c r="M33" s="362"/>
      <c r="N33" s="362"/>
      <c r="O33" s="362"/>
      <c r="P33" s="362"/>
      <c r="Q33" s="362"/>
      <c r="R33" s="362"/>
      <c r="S33" s="362"/>
      <c r="T33" s="363"/>
      <c r="U33" s="4"/>
      <c r="V33" s="4"/>
      <c r="W33" s="4"/>
      <c r="X33" s="4"/>
      <c r="Y33" s="4"/>
      <c r="Z33" s="4"/>
      <c r="AA33" s="4"/>
    </row>
    <row r="34" spans="1:27" ht="12.75">
      <c r="A34" s="4"/>
      <c r="B34" s="4"/>
      <c r="C34" s="4"/>
      <c r="D34" s="4"/>
      <c r="E34" s="4"/>
      <c r="F34" s="4"/>
      <c r="G34" s="4"/>
      <c r="H34" s="4"/>
      <c r="I34" s="4"/>
      <c r="J34" s="4"/>
      <c r="K34" s="361"/>
      <c r="L34" s="362"/>
      <c r="M34" s="362"/>
      <c r="N34" s="362"/>
      <c r="O34" s="362"/>
      <c r="P34" s="362"/>
      <c r="Q34" s="362"/>
      <c r="R34" s="362"/>
      <c r="S34" s="362"/>
      <c r="T34" s="363"/>
      <c r="U34" s="4"/>
      <c r="V34" s="4"/>
      <c r="W34" s="4"/>
      <c r="X34" s="4"/>
      <c r="Y34" s="4"/>
      <c r="Z34" s="4"/>
      <c r="AA34" s="4"/>
    </row>
    <row r="35" spans="1:27" ht="12.75">
      <c r="A35" s="4"/>
      <c r="B35" s="4"/>
      <c r="C35" s="4"/>
      <c r="D35" s="4"/>
      <c r="E35" s="4"/>
      <c r="F35" s="4"/>
      <c r="G35" s="4"/>
      <c r="H35" s="4"/>
      <c r="I35" s="4"/>
      <c r="J35" s="4"/>
      <c r="K35" s="364"/>
      <c r="L35" s="365"/>
      <c r="M35" s="365"/>
      <c r="N35" s="365"/>
      <c r="O35" s="365"/>
      <c r="P35" s="365"/>
      <c r="Q35" s="365"/>
      <c r="R35" s="365"/>
      <c r="S35" s="365"/>
      <c r="T35" s="366"/>
      <c r="U35" s="4"/>
      <c r="V35" s="4"/>
      <c r="W35" s="4"/>
      <c r="X35" s="4"/>
      <c r="Y35" s="4"/>
      <c r="Z35" s="4"/>
      <c r="AA35" s="4"/>
    </row>
    <row r="36" spans="1:27" ht="14.25">
      <c r="A36" s="4"/>
      <c r="B36" s="4"/>
      <c r="C36" s="4"/>
      <c r="D36" s="4"/>
      <c r="E36" s="4"/>
      <c r="F36" s="4"/>
      <c r="G36" s="4"/>
      <c r="H36" s="4"/>
      <c r="I36" s="4"/>
      <c r="J36" s="4"/>
      <c r="K36" s="213"/>
      <c r="L36" s="213"/>
      <c r="M36" s="213"/>
      <c r="N36" s="213"/>
      <c r="O36" s="213"/>
      <c r="P36" s="213"/>
      <c r="Q36" s="213"/>
      <c r="R36" s="213"/>
      <c r="S36" s="213"/>
      <c r="T36" s="213"/>
      <c r="U36" s="4"/>
      <c r="V36" s="4"/>
      <c r="W36" s="4"/>
      <c r="X36" s="4"/>
      <c r="Y36" s="4"/>
      <c r="Z36" s="4"/>
      <c r="AA36" s="4"/>
    </row>
    <row r="37" spans="1:27" ht="15">
      <c r="A37" s="4"/>
      <c r="B37" s="4"/>
      <c r="C37" s="4"/>
      <c r="D37" s="4"/>
      <c r="E37" s="4"/>
      <c r="F37" s="4"/>
      <c r="G37" s="4"/>
      <c r="H37" s="4"/>
      <c r="I37" s="4"/>
      <c r="J37" s="4"/>
      <c r="K37" s="358"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37" s="359"/>
      <c r="M37" s="359"/>
      <c r="N37" s="359"/>
      <c r="O37" s="359"/>
      <c r="P37" s="359"/>
      <c r="Q37" s="359"/>
      <c r="R37" s="359"/>
      <c r="S37" s="359"/>
      <c r="T37" s="360"/>
      <c r="U37" s="4"/>
      <c r="V37" s="4"/>
      <c r="W37" s="4"/>
      <c r="X37" s="4"/>
      <c r="Y37" s="4"/>
      <c r="Z37" s="4"/>
      <c r="AA37" s="4"/>
    </row>
    <row r="38" spans="1:27" ht="12.75">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21"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2.75">
      <c r="A40" s="4"/>
      <c r="B40" s="4"/>
      <c r="C40" s="4"/>
      <c r="D40" s="4"/>
      <c r="E40" s="4"/>
      <c r="F40" s="4"/>
      <c r="G40" s="4"/>
      <c r="H40" s="4"/>
      <c r="I40" s="4"/>
      <c r="J40" s="4"/>
      <c r="K40" s="356" t="str">
        <f>Import.Município</f>
        <v>CANDIOTA/RS</v>
      </c>
      <c r="L40" s="356"/>
      <c r="M40" s="356"/>
      <c r="N40" s="4"/>
      <c r="O40" s="4"/>
      <c r="P40" s="4"/>
      <c r="Q40" s="4"/>
      <c r="R40" s="4"/>
      <c r="S40" s="4"/>
      <c r="T40" s="4"/>
      <c r="U40" s="4"/>
      <c r="V40" s="4"/>
      <c r="W40" s="4"/>
      <c r="X40" s="4"/>
      <c r="Y40" s="4"/>
      <c r="Z40" s="4"/>
      <c r="AA40" s="4"/>
    </row>
    <row r="41" spans="1:27" ht="12.75">
      <c r="A41" s="4"/>
      <c r="B41" s="4"/>
      <c r="C41" s="4"/>
      <c r="D41" s="4"/>
      <c r="E41" s="4"/>
      <c r="F41" s="4"/>
      <c r="G41" s="4"/>
      <c r="H41" s="4"/>
      <c r="I41" s="4"/>
      <c r="J41" s="4"/>
      <c r="K41" s="112" t="s">
        <v>120</v>
      </c>
      <c r="L41" s="4"/>
      <c r="M41" s="4"/>
      <c r="N41" s="4"/>
      <c r="O41" s="4"/>
      <c r="P41" s="4"/>
      <c r="Q41" s="4"/>
      <c r="R41" s="4"/>
      <c r="S41" s="4"/>
      <c r="T41" s="4"/>
      <c r="U41" s="4"/>
      <c r="V41" s="4"/>
      <c r="W41" s="4"/>
      <c r="X41" s="4"/>
      <c r="Y41" s="4"/>
      <c r="Z41" s="4"/>
      <c r="AA41" s="4"/>
    </row>
    <row r="42" spans="1:27" ht="12.75">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2.75">
      <c r="A43" s="4"/>
      <c r="B43" s="4"/>
      <c r="C43" s="4"/>
      <c r="D43" s="4"/>
      <c r="E43" s="4"/>
      <c r="F43" s="4"/>
      <c r="G43" s="4"/>
      <c r="H43" s="4"/>
      <c r="I43" s="4"/>
      <c r="J43" s="4"/>
      <c r="K43" s="355">
        <f ca="1">TODAY()</f>
        <v>43319</v>
      </c>
      <c r="L43" s="355"/>
      <c r="M43" s="355"/>
      <c r="N43" s="4"/>
      <c r="O43" s="4"/>
      <c r="P43" s="4"/>
      <c r="Q43" s="4"/>
      <c r="R43" s="4"/>
      <c r="S43" s="4"/>
      <c r="T43" s="4"/>
      <c r="U43" s="4"/>
      <c r="V43" s="4"/>
      <c r="W43" s="4"/>
      <c r="X43" s="4"/>
      <c r="Y43" s="4"/>
      <c r="Z43" s="4"/>
      <c r="AA43" s="4"/>
    </row>
    <row r="44" spans="1:27" ht="12.75">
      <c r="A44" s="4"/>
      <c r="B44" s="4"/>
      <c r="C44" s="4"/>
      <c r="D44" s="4"/>
      <c r="E44" s="4"/>
      <c r="F44" s="4"/>
      <c r="G44" s="4"/>
      <c r="H44" s="4"/>
      <c r="I44" s="4"/>
      <c r="J44" s="4"/>
      <c r="K44" s="141" t="s">
        <v>121</v>
      </c>
      <c r="L44" s="83"/>
      <c r="M44" s="83"/>
      <c r="N44" s="4"/>
      <c r="O44" s="4"/>
      <c r="P44" s="4"/>
      <c r="Q44" s="4"/>
      <c r="R44" s="4"/>
      <c r="S44" s="4"/>
      <c r="T44" s="4"/>
      <c r="U44" s="4"/>
      <c r="V44" s="4"/>
      <c r="W44" s="4"/>
      <c r="X44" s="4"/>
      <c r="Y44" s="4"/>
      <c r="Z44" s="4"/>
      <c r="AA44" s="4"/>
    </row>
  </sheetData>
  <sheetProtection password="C95B" sheet="1" objects="1" scenarios="1"/>
  <mergeCells count="6">
    <mergeCell ref="K43:M43"/>
    <mergeCell ref="K40:M40"/>
    <mergeCell ref="W2:X2"/>
    <mergeCell ref="K37:T37"/>
    <mergeCell ref="K33:T35"/>
    <mergeCell ref="M30:T30"/>
  </mergeCells>
  <conditionalFormatting sqref="O12:R12 L12:M12">
    <cfRule type="expression" priority="1982" dxfId="238" stopIfTrue="1">
      <formula>$J12=$C$2</formula>
    </cfRule>
    <cfRule type="expression" priority="1983" dxfId="237" stopIfTrue="1">
      <formula>UPPER(LEFT($J12,5))="NÍVEL"</formula>
    </cfRule>
    <cfRule type="expression" priority="1984" dxfId="239" stopIfTrue="1">
      <formula>$J12=$C$8</formula>
    </cfRule>
  </conditionalFormatting>
  <conditionalFormatting sqref="Y12:Z12 S12:T12 K12">
    <cfRule type="expression" priority="1985" dxfId="238" stopIfTrue="1">
      <formula>$J12=$C$2</formula>
    </cfRule>
    <cfRule type="expression" priority="1986" dxfId="237" stopIfTrue="1">
      <formula>UPPER(LEFT($J12,5))="NÍVEL"</formula>
    </cfRule>
  </conditionalFormatting>
  <conditionalFormatting sqref="K11 K13:K15 K22:K27">
    <cfRule type="expression" priority="1998" dxfId="271" stopIfTrue="1">
      <formula>$J11=$C$2</formula>
    </cfRule>
    <cfRule type="expression" priority="1999" dxfId="91" stopIfTrue="1">
      <formula>AND($J11&lt;&gt;"",$J11&lt;&gt;"Serviço")</formula>
    </cfRule>
    <cfRule type="expression" priority="2000" dxfId="85" stopIfTrue="1">
      <formula>$J11=""</formula>
    </cfRule>
  </conditionalFormatting>
  <conditionalFormatting sqref="P11 P13:P15 P22:P27">
    <cfRule type="expression" priority="325" dxfId="272" stopIfTrue="1">
      <formula>$J11=$C$2</formula>
    </cfRule>
    <cfRule type="expression" priority="2004" dxfId="95" stopIfTrue="1">
      <formula>AND($J11&lt;&gt;"Serviço")</formula>
    </cfRule>
    <cfRule type="expression" priority="2005" dxfId="162" stopIfTrue="1">
      <formula>CELL("proteger",P11)</formula>
    </cfRule>
  </conditionalFormatting>
  <conditionalFormatting sqref="Q11:R11 Q13:R15 Q22:R27">
    <cfRule type="expression" priority="2006" dxfId="273" stopIfTrue="1">
      <formula>$J11=$C$2</formula>
    </cfRule>
    <cfRule type="expression" priority="2007" dxfId="85" stopIfTrue="1">
      <formula>$J11&lt;&gt;"Serviço"</formula>
    </cfRule>
    <cfRule type="expression" priority="2008" dxfId="84" stopIfTrue="1">
      <formula>CELL("proteger",Q11)</formula>
    </cfRule>
  </conditionalFormatting>
  <conditionalFormatting sqref="S11:T11 Y11:Z11 Y13:Z15 S13:T15 S22:T27 Y22:Z27">
    <cfRule type="expression" priority="2009" dxfId="271" stopIfTrue="1">
      <formula>$J11=$C$2</formula>
    </cfRule>
    <cfRule type="expression" priority="2010" dxfId="91" stopIfTrue="1">
      <formula>$J11&lt;&gt;"Serviço"</formula>
    </cfRule>
  </conditionalFormatting>
  <conditionalFormatting sqref="L11:M11 L13:M15 L22:M27">
    <cfRule type="expression" priority="2030" dxfId="273" stopIfTrue="1">
      <formula>$J11=$C$2</formula>
    </cfRule>
    <cfRule type="expression" priority="2031" dxfId="85" stopIfTrue="1">
      <formula>$J11&lt;&gt;"Serviço"</formula>
    </cfRule>
    <cfRule type="expression" priority="2032" dxfId="84" stopIfTrue="1">
      <formula>OR(CELL("proteger",L11),$J11="",TipoOrçamento="Licitado")</formula>
    </cfRule>
  </conditionalFormatting>
  <conditionalFormatting sqref="K30:T30">
    <cfRule type="expression" priority="2011" dxfId="69" stopIfTrue="1">
      <formula>OR(Tipo.Orçamento="LICITADO",Tipo.Orçamento="REPROGRAMADOAC")</formula>
    </cfRule>
    <cfRule type="expression" priority="2012" dxfId="221" stopIfTrue="1">
      <formula>$M$30=""</formula>
    </cfRule>
  </conditionalFormatting>
  <conditionalFormatting sqref="J11 J26:J27 J13:J15 J22:J24">
    <cfRule type="expression" priority="2039" dxfId="5" stopIfTrue="1">
      <formula>TipoOrçamento="Licitado"</formula>
    </cfRule>
  </conditionalFormatting>
  <conditionalFormatting sqref="O11 O13:O15 O22:O27">
    <cfRule type="expression" priority="345" dxfId="273" stopIfTrue="1">
      <formula>$J11=$C$2</formula>
    </cfRule>
    <cfRule type="expression" priority="346" dxfId="85" stopIfTrue="1">
      <formula>AND($J11&lt;&gt;"Serviço")</formula>
    </cfRule>
    <cfRule type="expression" priority="347" dxfId="84" stopIfTrue="1">
      <formula>CELL("proteger",O11)</formula>
    </cfRule>
  </conditionalFormatting>
  <conditionalFormatting sqref="N11 N14:N15 N22:N27">
    <cfRule type="expression" priority="348" dxfId="274" stopIfTrue="1">
      <formula>$J11=$C$2</formula>
    </cfRule>
    <cfRule type="expression" priority="349" dxfId="91" stopIfTrue="1">
      <formula>$J11&lt;&gt;"Serviço"</formula>
    </cfRule>
    <cfRule type="expression" priority="350" dxfId="5" stopIfTrue="1">
      <formula>CELL("proteger",N11)</formula>
    </cfRule>
  </conditionalFormatting>
  <conditionalFormatting sqref="N13">
    <cfRule type="expression" priority="214" dxfId="274" stopIfTrue="1">
      <formula>$J13=$C$2</formula>
    </cfRule>
    <cfRule type="expression" priority="215" dxfId="91" stopIfTrue="1">
      <formula>$J13&lt;&gt;"Serviço"</formula>
    </cfRule>
    <cfRule type="expression" priority="216" dxfId="5" stopIfTrue="1">
      <formula>CELL("proteger",N13)</formula>
    </cfRule>
  </conditionalFormatting>
  <conditionalFormatting sqref="J25">
    <cfRule type="expression" priority="213" dxfId="5" stopIfTrue="1">
      <formula>TipoOrçamento="Licitado"</formula>
    </cfRule>
  </conditionalFormatting>
  <conditionalFormatting sqref="K16:K17 K20:K21">
    <cfRule type="expression" priority="50" dxfId="271" stopIfTrue="1">
      <formula>$J16=$C$2</formula>
    </cfRule>
    <cfRule type="expression" priority="51" dxfId="91" stopIfTrue="1">
      <formula>AND($J16&lt;&gt;"",$J16&lt;&gt;"Serviço")</formula>
    </cfRule>
    <cfRule type="expression" priority="52" dxfId="85" stopIfTrue="1">
      <formula>$J16=""</formula>
    </cfRule>
  </conditionalFormatting>
  <conditionalFormatting sqref="P16:P17 P20:P21">
    <cfRule type="expression" priority="43" dxfId="272" stopIfTrue="1">
      <formula>$J16=$C$2</formula>
    </cfRule>
    <cfRule type="expression" priority="53" dxfId="95" stopIfTrue="1">
      <formula>AND($J16&lt;&gt;"Serviço")</formula>
    </cfRule>
    <cfRule type="expression" priority="54" dxfId="162" stopIfTrue="1">
      <formula>CELL("proteger",P16)</formula>
    </cfRule>
  </conditionalFormatting>
  <conditionalFormatting sqref="Q16:R17 Q20:R21">
    <cfRule type="expression" priority="55" dxfId="273" stopIfTrue="1">
      <formula>$J16=$C$2</formula>
    </cfRule>
    <cfRule type="expression" priority="56" dxfId="85" stopIfTrue="1">
      <formula>$J16&lt;&gt;"Serviço"</formula>
    </cfRule>
    <cfRule type="expression" priority="57" dxfId="84" stopIfTrue="1">
      <formula>CELL("proteger",Q16)</formula>
    </cfRule>
  </conditionalFormatting>
  <conditionalFormatting sqref="S16:T17 Y16:Z17 Y20:Z21 S20:T21">
    <cfRule type="expression" priority="58" dxfId="271" stopIfTrue="1">
      <formula>$J16=$C$2</formula>
    </cfRule>
    <cfRule type="expression" priority="59" dxfId="91" stopIfTrue="1">
      <formula>$J16&lt;&gt;"Serviço"</formula>
    </cfRule>
  </conditionalFormatting>
  <conditionalFormatting sqref="L16:M17 L20:M21">
    <cfRule type="expression" priority="60" dxfId="273" stopIfTrue="1">
      <formula>$J16=$C$2</formula>
    </cfRule>
    <cfRule type="expression" priority="61" dxfId="85" stopIfTrue="1">
      <formula>$J16&lt;&gt;"Serviço"</formula>
    </cfRule>
    <cfRule type="expression" priority="62" dxfId="84" stopIfTrue="1">
      <formula>OR(CELL("proteger",L16),$J16="",TipoOrçamento="Licitado")</formula>
    </cfRule>
  </conditionalFormatting>
  <conditionalFormatting sqref="J16:J17 J20:J21">
    <cfRule type="expression" priority="63" dxfId="5" stopIfTrue="1">
      <formula>TipoOrçamento="Licitado"</formula>
    </cfRule>
  </conditionalFormatting>
  <conditionalFormatting sqref="O16:O17 O20:O21">
    <cfRule type="expression" priority="44" dxfId="273" stopIfTrue="1">
      <formula>$J16=$C$2</formula>
    </cfRule>
    <cfRule type="expression" priority="45" dxfId="85" stopIfTrue="1">
      <formula>AND($J16&lt;&gt;"Serviço")</formula>
    </cfRule>
    <cfRule type="expression" priority="46" dxfId="84" stopIfTrue="1">
      <formula>CELL("proteger",O16)</formula>
    </cfRule>
  </conditionalFormatting>
  <conditionalFormatting sqref="N16:N17 N20:N21">
    <cfRule type="expression" priority="47" dxfId="274" stopIfTrue="1">
      <formula>$J16=$C$2</formula>
    </cfRule>
    <cfRule type="expression" priority="48" dxfId="91" stopIfTrue="1">
      <formula>$J16&lt;&gt;"Serviço"</formula>
    </cfRule>
    <cfRule type="expression" priority="49" dxfId="5" stopIfTrue="1">
      <formula>CELL("proteger",N16)</formula>
    </cfRule>
  </conditionalFormatting>
  <conditionalFormatting sqref="K18:K19">
    <cfRule type="expression" priority="29" dxfId="271" stopIfTrue="1">
      <formula>$J18=$C$2</formula>
    </cfRule>
    <cfRule type="expression" priority="30" dxfId="91" stopIfTrue="1">
      <formula>AND($J18&lt;&gt;"",$J18&lt;&gt;"Serviço")</formula>
    </cfRule>
    <cfRule type="expression" priority="31" dxfId="85" stopIfTrue="1">
      <formula>$J18=""</formula>
    </cfRule>
  </conditionalFormatting>
  <conditionalFormatting sqref="P18:P19">
    <cfRule type="expression" priority="22" dxfId="272" stopIfTrue="1">
      <formula>$J18=$C$2</formula>
    </cfRule>
    <cfRule type="expression" priority="32" dxfId="95" stopIfTrue="1">
      <formula>AND($J18&lt;&gt;"Serviço")</formula>
    </cfRule>
    <cfRule type="expression" priority="33" dxfId="162" stopIfTrue="1">
      <formula>CELL("proteger",P18)</formula>
    </cfRule>
  </conditionalFormatting>
  <conditionalFormatting sqref="Q18:R19">
    <cfRule type="expression" priority="34" dxfId="273" stopIfTrue="1">
      <formula>$J18=$C$2</formula>
    </cfRule>
    <cfRule type="expression" priority="35" dxfId="85" stopIfTrue="1">
      <formula>$J18&lt;&gt;"Serviço"</formula>
    </cfRule>
    <cfRule type="expression" priority="36" dxfId="84" stopIfTrue="1">
      <formula>CELL("proteger",Q18)</formula>
    </cfRule>
  </conditionalFormatting>
  <conditionalFormatting sqref="S18:T19 Y18:Z19">
    <cfRule type="expression" priority="37" dxfId="271" stopIfTrue="1">
      <formula>$J18=$C$2</formula>
    </cfRule>
    <cfRule type="expression" priority="38" dxfId="91" stopIfTrue="1">
      <formula>$J18&lt;&gt;"Serviço"</formula>
    </cfRule>
  </conditionalFormatting>
  <conditionalFormatting sqref="L18:M19">
    <cfRule type="expression" priority="39" dxfId="273" stopIfTrue="1">
      <formula>$J18=$C$2</formula>
    </cfRule>
    <cfRule type="expression" priority="40" dxfId="85" stopIfTrue="1">
      <formula>$J18&lt;&gt;"Serviço"</formula>
    </cfRule>
    <cfRule type="expression" priority="41" dxfId="84" stopIfTrue="1">
      <formula>OR(CELL("proteger",L18),$J18="",TipoOrçamento="Licitado")</formula>
    </cfRule>
  </conditionalFormatting>
  <conditionalFormatting sqref="J18:J19">
    <cfRule type="expression" priority="42" dxfId="5" stopIfTrue="1">
      <formula>TipoOrçamento="Licitado"</formula>
    </cfRule>
  </conditionalFormatting>
  <conditionalFormatting sqref="O18:O19">
    <cfRule type="expression" priority="23" dxfId="273" stopIfTrue="1">
      <formula>$J18=$C$2</formula>
    </cfRule>
    <cfRule type="expression" priority="24" dxfId="85" stopIfTrue="1">
      <formula>AND($J18&lt;&gt;"Serviço")</formula>
    </cfRule>
    <cfRule type="expression" priority="25" dxfId="84" stopIfTrue="1">
      <formula>CELL("proteger",O18)</formula>
    </cfRule>
  </conditionalFormatting>
  <conditionalFormatting sqref="N18:N19">
    <cfRule type="expression" priority="26" dxfId="274" stopIfTrue="1">
      <formula>$J18=$C$2</formula>
    </cfRule>
    <cfRule type="expression" priority="27" dxfId="91" stopIfTrue="1">
      <formula>$J18&lt;&gt;"Serviço"</formula>
    </cfRule>
    <cfRule type="expression" priority="28" dxfId="5" stopIfTrue="1">
      <formula>CELL("proteger",N18)</formula>
    </cfRule>
  </conditionalFormatting>
  <conditionalFormatting sqref="K28">
    <cfRule type="expression" priority="8" dxfId="271" stopIfTrue="1">
      <formula>$J28=$C$2</formula>
    </cfRule>
    <cfRule type="expression" priority="9" dxfId="91" stopIfTrue="1">
      <formula>AND($J28&lt;&gt;"",$J28&lt;&gt;"Serviço")</formula>
    </cfRule>
    <cfRule type="expression" priority="10" dxfId="85" stopIfTrue="1">
      <formula>$J28=""</formula>
    </cfRule>
  </conditionalFormatting>
  <conditionalFormatting sqref="P28">
    <cfRule type="expression" priority="1" dxfId="272" stopIfTrue="1">
      <formula>$J28=$C$2</formula>
    </cfRule>
    <cfRule type="expression" priority="11" dxfId="95" stopIfTrue="1">
      <formula>AND($J28&lt;&gt;"Serviço")</formula>
    </cfRule>
    <cfRule type="expression" priority="12" dxfId="162" stopIfTrue="1">
      <formula>CELL("proteger",P28)</formula>
    </cfRule>
  </conditionalFormatting>
  <conditionalFormatting sqref="Q28:R28">
    <cfRule type="expression" priority="13" dxfId="273" stopIfTrue="1">
      <formula>$J28=$C$2</formula>
    </cfRule>
    <cfRule type="expression" priority="14" dxfId="85" stopIfTrue="1">
      <formula>$J28&lt;&gt;"Serviço"</formula>
    </cfRule>
    <cfRule type="expression" priority="15" dxfId="84" stopIfTrue="1">
      <formula>CELL("proteger",Q28)</formula>
    </cfRule>
  </conditionalFormatting>
  <conditionalFormatting sqref="S28:T28 Y28:Z28">
    <cfRule type="expression" priority="16" dxfId="271" stopIfTrue="1">
      <formula>$J28=$C$2</formula>
    </cfRule>
    <cfRule type="expression" priority="17" dxfId="91" stopIfTrue="1">
      <formula>$J28&lt;&gt;"Serviço"</formula>
    </cfRule>
  </conditionalFormatting>
  <conditionalFormatting sqref="L28:M28">
    <cfRule type="expression" priority="18" dxfId="273" stopIfTrue="1">
      <formula>$J28=$C$2</formula>
    </cfRule>
    <cfRule type="expression" priority="19" dxfId="85" stopIfTrue="1">
      <formula>$J28&lt;&gt;"Serviço"</formula>
    </cfRule>
    <cfRule type="expression" priority="20" dxfId="84" stopIfTrue="1">
      <formula>OR(CELL("proteger",L28),$J28="",TipoOrçamento="Licitado")</formula>
    </cfRule>
  </conditionalFormatting>
  <conditionalFormatting sqref="J28">
    <cfRule type="expression" priority="21" dxfId="5" stopIfTrue="1">
      <formula>TipoOrçamento="Licitado"</formula>
    </cfRule>
  </conditionalFormatting>
  <conditionalFormatting sqref="O28">
    <cfRule type="expression" priority="2" dxfId="273" stopIfTrue="1">
      <formula>$J28=$C$2</formula>
    </cfRule>
    <cfRule type="expression" priority="3" dxfId="85" stopIfTrue="1">
      <formula>AND($J28&lt;&gt;"Serviço")</formula>
    </cfRule>
    <cfRule type="expression" priority="4" dxfId="84" stopIfTrue="1">
      <formula>CELL("proteger",O28)</formula>
    </cfRule>
  </conditionalFormatting>
  <conditionalFormatting sqref="N28">
    <cfRule type="expression" priority="5" dxfId="274" stopIfTrue="1">
      <formula>$J28=$C$2</formula>
    </cfRule>
    <cfRule type="expression" priority="6" dxfId="91" stopIfTrue="1">
      <formula>$J28&lt;&gt;"Serviço"</formula>
    </cfRule>
    <cfRule type="expression" priority="7" dxfId="5" stopIfTrue="1">
      <formula>CELL("proteger",N28)</formula>
    </cfRule>
  </conditionalFormatting>
  <dataValidations count="3">
    <dataValidation type="decimal" operator="greaterThan" allowBlank="1" showInputMessage="1" showErrorMessage="1" error="Apenas números decimais maiores que zero." sqref="Q11 Q13:Q28">
      <formula1>0</formula1>
    </dataValidation>
    <dataValidation errorStyle="warning" type="list" allowBlank="1" showInputMessage="1" showErrorMessage="1" error="Selecione um dos 5 BDI da lista.&#10;&#10;Caso tenha mais de 5 BDI nesta Planilha Orçamentária digite apenas valor percentual." sqref="R11 R13:R28">
      <formula1>Dados.Lista.BDI</formula1>
    </dataValidation>
    <dataValidation type="list" showInputMessage="1" showErrorMessage="1" promptTitle="Nível:" prompt="Selecione na lista o nível de itemização da Planilha." errorTitle="Erro de Entrada" error="Selecione somente os itens da lista." sqref="J11 J14:J28">
      <formula1>$C$2:$G$2</formula1>
    </dataValidation>
  </dataValidations>
  <printOptions horizontalCentered="1"/>
  <pageMargins left="0.3937007874015748" right="0.3937007874015748" top="0.1968503937007874" bottom="0.1968503937007874" header="0" footer="0"/>
  <pageSetup fitToHeight="0" horizontalDpi="600" verticalDpi="600" orientation="landscape" paperSize="9" scale="58" r:id="rId3"/>
  <headerFooter alignWithMargins="0">
    <oddHeader>&amp;C&amp;14I</oddHeader>
    <oddFooter>&amp;L27.476 v008   micro&amp;R&amp;P</oddFooter>
  </headerFooter>
  <ignoredErrors>
    <ignoredError sqref="K40 K43" unlocked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Plan2">
    <tabColor rgb="FFFFFF00"/>
  </sheetPr>
  <dimension ref="A1:U35"/>
  <sheetViews>
    <sheetView showGridLines="0" zoomScale="85" zoomScaleNormal="85" zoomScaleSheetLayoutView="10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K28" sqref="K28"/>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75" customHeight="1">
      <c r="P4" s="20"/>
    </row>
    <row r="5" s="4" customFormat="1" ht="39.75" customHeight="1">
      <c r="P5" s="20"/>
    </row>
    <row r="6" s="4" customFormat="1" ht="20.25" customHeight="1">
      <c r="P6" s="20"/>
    </row>
    <row r="7" spans="5:16" s="4" customFormat="1" ht="12.75" customHeight="1" hidden="1">
      <c r="E7" s="224">
        <f ca="1">OFFSET(PO!$P$12,ROW($E7)-ROW(E$12),0)</f>
        <v>0</v>
      </c>
      <c r="P7" s="20"/>
    </row>
    <row r="8" s="4" customFormat="1" ht="9.75" customHeight="1">
      <c r="P8" s="20"/>
    </row>
    <row r="9" spans="2:21" s="4" customFormat="1" ht="60" customHeight="1">
      <c r="B9" s="17"/>
      <c r="C9" s="14"/>
      <c r="D9" s="9"/>
      <c r="E9" s="146" t="s">
        <v>46</v>
      </c>
      <c r="F9" s="399" t="s">
        <v>236</v>
      </c>
      <c r="G9" s="399"/>
      <c r="H9" s="399"/>
      <c r="I9" s="399"/>
      <c r="J9" s="399"/>
      <c r="K9" s="399"/>
      <c r="L9" s="399"/>
      <c r="M9" s="399"/>
      <c r="N9" s="399"/>
      <c r="O9" s="399"/>
      <c r="U9" s="122"/>
    </row>
    <row r="10" spans="1:21" s="15" customFormat="1" ht="30" customHeight="1">
      <c r="A10" s="123" t="s">
        <v>3</v>
      </c>
      <c r="B10" s="123" t="s">
        <v>147</v>
      </c>
      <c r="C10" s="123" t="s">
        <v>142</v>
      </c>
      <c r="D10" s="124" t="s">
        <v>158</v>
      </c>
      <c r="E10" s="123" t="s">
        <v>148</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f ca="1">IF(OFFSET(PO!N$12,ROW(C11)-ROW(C$12),0)=0,"",OFFSET(PO!N$12,ROW(C11)-ROW(C$12),0))</f>
      </c>
      <c r="D11" s="129">
        <f ca="1">IF(OFFSET(PO!O$12,ROW(D11)-ROW(D$12),0)=0,"",OFFSET(PO!O$12,ROW(D11)-ROW(D$12),0))</f>
      </c>
      <c r="E11" s="165">
        <f>IF($A11&lt;&gt;"Serviço",0,ROUND(SUMIF($F$9:$P$9,"&lt;&gt;",$F11:$P11),15-13*PO!$X$3))</f>
        <v>0</v>
      </c>
      <c r="F11" s="215">
        <f ca="1">OFFSET(PO!$P$12,ROW($E11)-ROW(F$12),0)</f>
        <v>0</v>
      </c>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12.75">
      <c r="A13" s="126" t="str">
        <f ca="1">OFFSET(PO!J$12,ROW(A13)-ROW($A$12),0)</f>
        <v>Meta</v>
      </c>
      <c r="B13" s="130" t="str">
        <f ca="1">IF($A13=0,"",OFFSET(PO!K$12,ROW(B13)-ROW(B$12),0))</f>
        <v>1.</v>
      </c>
      <c r="C13" s="127" t="str">
        <f ca="1">IF(OFFSET(PO!N$12,ROW(C13)-ROW(C$12),0)=0,"",OFFSET(PO!N$12,ROW(C13)-ROW(C$12),0))</f>
        <v>SERVIÇOS PRELIMINARES</v>
      </c>
      <c r="D13" s="129">
        <f ca="1">IF(OFFSET(PO!O$12,ROW(D13)-ROW(D$12),0)=0,"",OFFSET(PO!O$12,ROW(D13)-ROW(D$12),0))</f>
      </c>
      <c r="E13" s="165">
        <f>IF($A13&lt;&gt;"Serviço",0,ROUND(SUMIF($F$9:$P$9,"&lt;&gt;",$F13:$P13),15-13*PO!$X$3))</f>
        <v>0</v>
      </c>
      <c r="F13" s="398">
        <f ca="1">OFFSET(PO!$P$12,ROW($E13)-ROW(F$12),0)</f>
        <v>0</v>
      </c>
      <c r="G13" s="398"/>
      <c r="H13" s="398"/>
      <c r="I13" s="398"/>
      <c r="J13" s="398"/>
      <c r="K13" s="398"/>
      <c r="L13" s="398"/>
      <c r="M13" s="398"/>
      <c r="N13" s="398"/>
      <c r="O13" s="398"/>
      <c r="U13" s="215"/>
    </row>
    <row r="14" spans="1:21" s="4" customFormat="1" ht="12.75">
      <c r="A14" s="128" t="str">
        <f ca="1">OFFSET(PO!J$12,ROW(A14)-ROW($A$12),0)</f>
        <v>Serviço</v>
      </c>
      <c r="B14" s="130" t="str">
        <f ca="1">IF($A14=0,"",OFFSET(PO!K$12,ROW(B14)-ROW(B$12),0))</f>
        <v>1.1.</v>
      </c>
      <c r="C14" s="127" t="str">
        <f ca="1">IF(OFFSET(PO!N$12,ROW(C14)-ROW(C$12),0)=0,"",OFFSET(PO!N$12,ROW(C14)-ROW(C$12),0))</f>
        <v>PLACA DE OBRA EM CHAPA DE ACO GALVANIZADO</v>
      </c>
      <c r="D14" s="129" t="str">
        <f ca="1">IF(OFFSET(PO!O$12,ROW(D14)-ROW(D$12),0)=0,"",OFFSET(PO!O$12,ROW(D14)-ROW(D$12),0))</f>
        <v>M2</v>
      </c>
      <c r="E14" s="165">
        <f>IF($A14&lt;&gt;"Serviço",0,ROUND(SUMIF($F$9:$P$9,"&lt;&gt;",$F14:$P14),15-13*PO!$X$3))</f>
        <v>6.4</v>
      </c>
      <c r="F14" s="398">
        <f ca="1">OFFSET(PO!$P$12,ROW($E14)-ROW(F$12),0)</f>
        <v>6.4</v>
      </c>
      <c r="G14" s="398"/>
      <c r="H14" s="398"/>
      <c r="I14" s="398"/>
      <c r="J14" s="398"/>
      <c r="K14" s="398"/>
      <c r="L14" s="398"/>
      <c r="M14" s="398"/>
      <c r="N14" s="398"/>
      <c r="O14" s="398"/>
      <c r="U14" s="215"/>
    </row>
    <row r="15" spans="1:21" s="4" customFormat="1" ht="25.5">
      <c r="A15" s="128" t="str">
        <f ca="1">OFFSET(PO!J$12,ROW(A15)-ROW($A$12),0)</f>
        <v>Serviço</v>
      </c>
      <c r="B15" s="130" t="str">
        <f ca="1">IF($A15=0,"",OFFSET(PO!K$12,ROW(B15)-ROW(B$12),0))</f>
        <v>1.2.</v>
      </c>
      <c r="C15" s="127" t="str">
        <f ca="1">IF(OFFSET(PO!N$12,ROW(C15)-ROW(C$12),0)=0,"",OFFSET(PO!N$12,ROW(C15)-ROW(C$12),0))</f>
        <v>SERVICOS TOPOGRAFICOS PARA PAVIMENTACAO, INCLUSIVE NOTA DE SERVICOS, ACOMPANHAMENTO E GREIDE</v>
      </c>
      <c r="D15" s="129" t="str">
        <f ca="1">IF(OFFSET(PO!O$12,ROW(D15)-ROW(D$12),0)=0,"",OFFSET(PO!O$12,ROW(D15)-ROW(D$12),0))</f>
        <v>M2</v>
      </c>
      <c r="E15" s="165">
        <f>IF($A15&lt;&gt;"Serviço",0,ROUND(SUMIF($F$9:$P$9,"&lt;&gt;",$F15:$P15),15-13*PO!$X$3))</f>
        <v>2295.25</v>
      </c>
      <c r="F15" s="398">
        <f ca="1">OFFSET(PO!$P$12,ROW($E15)-ROW(F$12),0)</f>
        <v>2295.25</v>
      </c>
      <c r="G15" s="398"/>
      <c r="H15" s="398"/>
      <c r="I15" s="398"/>
      <c r="J15" s="398"/>
      <c r="K15" s="398"/>
      <c r="L15" s="398"/>
      <c r="M15" s="398"/>
      <c r="N15" s="398"/>
      <c r="O15" s="398"/>
      <c r="U15" s="215"/>
    </row>
    <row r="16" spans="1:21" s="4" customFormat="1" ht="12.75">
      <c r="A16" s="128" t="str">
        <f ca="1">OFFSET(PO!J$12,ROW(A16)-ROW($A$12),0)</f>
        <v>Meta</v>
      </c>
      <c r="B16" s="130" t="str">
        <f ca="1">IF($A16=0,"",OFFSET(PO!K$12,ROW(B16)-ROW(B$12),0))</f>
        <v>2.</v>
      </c>
      <c r="C16" s="127" t="str">
        <f ca="1">IF(OFFSET(PO!N$12,ROW(C16)-ROW(C$12),0)=0,"",OFFSET(PO!N$12,ROW(C16)-ROW(C$12),0))</f>
        <v>DRENAGEM</v>
      </c>
      <c r="D16" s="129">
        <f ca="1">IF(OFFSET(PO!O$12,ROW(D16)-ROW(D$12),0)=0,"",OFFSET(PO!O$12,ROW(D16)-ROW(D$12),0))</f>
      </c>
      <c r="E16" s="165">
        <f>IF($A16&lt;&gt;"Serviço",0,ROUND(SUMIF($F$9:$P$9,"&lt;&gt;",$F16:$P16),15-13*PO!$X$3))</f>
        <v>0</v>
      </c>
      <c r="F16" s="398">
        <f ca="1">OFFSET(PO!$P$12,ROW($E16)-ROW(F$12),0)</f>
        <v>0</v>
      </c>
      <c r="G16" s="398"/>
      <c r="H16" s="398"/>
      <c r="I16" s="398"/>
      <c r="J16" s="398"/>
      <c r="K16" s="398"/>
      <c r="L16" s="398"/>
      <c r="M16" s="398"/>
      <c r="N16" s="398"/>
      <c r="O16" s="398"/>
      <c r="U16" s="215"/>
    </row>
    <row r="17" spans="1:21" s="4" customFormat="1" ht="63.75">
      <c r="A17" s="128" t="str">
        <f ca="1">OFFSET(PO!J$12,ROW(A17)-ROW($A$12),0)</f>
        <v>Serviço</v>
      </c>
      <c r="B17" s="130" t="str">
        <f ca="1">IF($A17=0,"",OFFSET(PO!K$12,ROW(B17)-ROW(B$12),0))</f>
        <v>2.1.</v>
      </c>
      <c r="C17" s="127" t="str">
        <f ca="1">IF(OFFSET(PO!N$12,ROW(C17)-ROW(C$12),0)=0,"",OFFSET(PO!N$12,ROW(C17)-ROW(C$12),0))</f>
        <v>ESCAVAÇÃO MECANIZADA DE VALA COM PROF. ATÉ 1,5 M (MÉDIA ENTRE MONTANTE E JUSANTE/UMA COMPOSIÇÃO POR TRECHO), COM RETROESCAVADEIRA (0,26 M3/88 HP), LARG. MENOR QUE 0,8 M, EM SOLO DE 1A CATEGORIA, EM LOCAIS COM ALTO NÍVEL DE INTERFERÊNCIA. AF_01/2015</v>
      </c>
      <c r="D17" s="129" t="str">
        <f ca="1">IF(OFFSET(PO!O$12,ROW(D17)-ROW(D$12),0)=0,"",OFFSET(PO!O$12,ROW(D17)-ROW(D$12),0))</f>
        <v>M3</v>
      </c>
      <c r="E17" s="165">
        <f>IF($A17&lt;&gt;"Serviço",0,ROUND(SUMIF($F$9:$P$9,"&lt;&gt;",$F17:$P17),15-13*PO!$X$3))</f>
        <v>15.36</v>
      </c>
      <c r="F17" s="398">
        <f ca="1">OFFSET(PO!$P$12,ROW($E17)-ROW(F$12),0)</f>
        <v>15.36</v>
      </c>
      <c r="G17" s="398"/>
      <c r="H17" s="398"/>
      <c r="I17" s="398"/>
      <c r="J17" s="398"/>
      <c r="K17" s="398"/>
      <c r="L17" s="398"/>
      <c r="M17" s="398"/>
      <c r="N17" s="398"/>
      <c r="O17" s="398"/>
      <c r="U17" s="215"/>
    </row>
    <row r="18" spans="1:21" s="4" customFormat="1" ht="25.5">
      <c r="A18" s="128" t="str">
        <f ca="1">OFFSET(PO!J$12,ROW(A18)-ROW($A$12),0)</f>
        <v>Serviço</v>
      </c>
      <c r="B18" s="130" t="str">
        <f ca="1">IF($A18=0,"",OFFSET(PO!K$12,ROW(B18)-ROW(B$12),0))</f>
        <v>2.2.</v>
      </c>
      <c r="C18" s="127" t="str">
        <f ca="1">IF(OFFSET(PO!N$12,ROW(C18)-ROW(C$12),0)=0,"",OFFSET(PO!N$12,ROW(C18)-ROW(C$12),0))</f>
        <v>TUBO CONCRETO ARMADO, CLASSE PA-3, PB, DN 600 MM, PARA AGUAS PLUVIAIS (NBR 8890)</v>
      </c>
      <c r="D18" s="129" t="str">
        <f ca="1">IF(OFFSET(PO!O$12,ROW(D18)-ROW(D$12),0)=0,"",OFFSET(PO!O$12,ROW(D18)-ROW(D$12),0))</f>
        <v>M</v>
      </c>
      <c r="E18" s="165">
        <f>IF($A18&lt;&gt;"Serviço",0,ROUND(SUMIF($F$9:$P$9,"&lt;&gt;",$F18:$P18),15-13*PO!$X$3))</f>
        <v>16</v>
      </c>
      <c r="F18" s="398">
        <f ca="1">OFFSET(PO!$P$12,ROW($E18)-ROW(F$12),0)</f>
        <v>16</v>
      </c>
      <c r="G18" s="398"/>
      <c r="H18" s="398"/>
      <c r="I18" s="398"/>
      <c r="J18" s="398"/>
      <c r="K18" s="398"/>
      <c r="L18" s="398"/>
      <c r="M18" s="398"/>
      <c r="N18" s="398"/>
      <c r="O18" s="398"/>
      <c r="U18" s="215"/>
    </row>
    <row r="19" spans="1:21" s="4" customFormat="1" ht="51">
      <c r="A19" s="128" t="str">
        <f ca="1">OFFSET(PO!J$12,ROW(A19)-ROW($A$12),0)</f>
        <v>Serviço</v>
      </c>
      <c r="B19" s="130" t="str">
        <f ca="1">IF($A19=0,"",OFFSET(PO!K$12,ROW(B19)-ROW(B$12),0))</f>
        <v>2.3.</v>
      </c>
      <c r="C19" s="127" t="str">
        <f ca="1">IF(OFFSET(PO!N$12,ROW(C19)-ROW(C$12),0)=0,"",OFFSET(PO!N$12,ROW(C19)-ROW(C$12),0))</f>
        <v>ASSENTAMENTO DE TUBO DE CONCRETO PARA REDES COLETORAS DE ÁGUAS PLUVIAIS, DIÂMETRO DE 400 MM, JUNTA RÍGIDA, INSTALADO EM LOCAL COM BAIXO NÍVEL DE INTERFERÊNCIAS (NÃO INCLUI FORNECIMENTO). AF_12/2015</v>
      </c>
      <c r="D19" s="129" t="str">
        <f ca="1">IF(OFFSET(PO!O$12,ROW(D19)-ROW(D$12),0)=0,"",OFFSET(PO!O$12,ROW(D19)-ROW(D$12),0))</f>
        <v>M</v>
      </c>
      <c r="E19" s="165">
        <f>IF($A19&lt;&gt;"Serviço",0,ROUND(SUMIF($F$9:$P$9,"&lt;&gt;",$F19:$P19),15-13*PO!$X$3))</f>
        <v>16</v>
      </c>
      <c r="F19" s="398">
        <f ca="1">OFFSET(PO!$P$12,ROW($E19)-ROW(F$12),0)</f>
        <v>16</v>
      </c>
      <c r="G19" s="398"/>
      <c r="H19" s="398"/>
      <c r="I19" s="398"/>
      <c r="J19" s="398"/>
      <c r="K19" s="398"/>
      <c r="L19" s="398"/>
      <c r="M19" s="398"/>
      <c r="N19" s="398"/>
      <c r="O19" s="398"/>
      <c r="U19" s="215"/>
    </row>
    <row r="20" spans="1:21" s="4" customFormat="1" ht="63.75">
      <c r="A20" s="128" t="str">
        <f ca="1">OFFSET(PO!J$12,ROW(A20)-ROW($A$12),0)</f>
        <v>Serviço</v>
      </c>
      <c r="B20" s="130" t="str">
        <f ca="1">IF($A20=0,"",OFFSET(PO!K$12,ROW(B20)-ROW(B$12),0))</f>
        <v>2.4.</v>
      </c>
      <c r="C20" s="127" t="str">
        <f ca="1">IF(OFFSET(PO!N$12,ROW(C20)-ROW(C$12),0)=0,"",OFFSET(PO!N$12,ROW(C20)-ROW(C$12),0))</f>
        <v>REATERRO MECANIZADO DE VALA COM RETROESCAVADEIRA (CAPACIDADE DA CAÇAMBA DA RETRO: 0,26 M³ / POTÊNCIA: 88 HP), LARGURA ATÉ 0,8 M, PROFUNDIDADE DE 1,5 A 3,0 M, COM SOLO (SEM SUBSTITUIÇÃO) DE 1ª CATEGORIA EM LOCAIS COM BAIXO NÍVEL DE INTERFERÊNCIA. AF_04/2016</v>
      </c>
      <c r="D20" s="129" t="str">
        <f ca="1">IF(OFFSET(PO!O$12,ROW(D20)-ROW(D$12),0)=0,"",OFFSET(PO!O$12,ROW(D20)-ROW(D$12),0))</f>
        <v>M3</v>
      </c>
      <c r="E20" s="165">
        <f>IF($A20&lt;&gt;"Serviço",0,ROUND(SUMIF($F$9:$P$9,"&lt;&gt;",$F20:$P20),15-13*PO!$X$3))</f>
        <v>9.2</v>
      </c>
      <c r="F20" s="398">
        <f ca="1">OFFSET(PO!$P$12,ROW($E20)-ROW(F$12),0)</f>
        <v>9.2</v>
      </c>
      <c r="G20" s="398"/>
      <c r="H20" s="398"/>
      <c r="I20" s="398"/>
      <c r="J20" s="398"/>
      <c r="K20" s="398"/>
      <c r="L20" s="398"/>
      <c r="M20" s="398"/>
      <c r="N20" s="398"/>
      <c r="O20" s="398"/>
      <c r="U20" s="215"/>
    </row>
    <row r="21" spans="1:21" s="4" customFormat="1" ht="38.25">
      <c r="A21" s="128" t="str">
        <f ca="1">OFFSET(PO!J$12,ROW(A21)-ROW($A$12),0)</f>
        <v>Serviço</v>
      </c>
      <c r="B21" s="130" t="str">
        <f ca="1">IF($A21=0,"",OFFSET(PO!K$12,ROW(B21)-ROW(B$12),0))</f>
        <v>2.5.</v>
      </c>
      <c r="C21" s="127" t="str">
        <f ca="1">IF(OFFSET(PO!N$12,ROW(C21)-ROW(C$12),0)=0,"",OFFSET(PO!N$12,ROW(C21)-ROW(C$12),0))</f>
        <v>BOCA DE LOBO EM ALVENARIA TIJOLO MACICO, REVESTIDA C/ ARGAMASSA DE CIMENTO E AREIA 1:3, SOBRE LASTRO DE CONCRETO 10CM E TAMPA DE CONCRETO ARMADO</v>
      </c>
      <c r="D21" s="129" t="str">
        <f ca="1">IF(OFFSET(PO!O$12,ROW(D21)-ROW(D$12),0)=0,"",OFFSET(PO!O$12,ROW(D21)-ROW(D$12),0))</f>
        <v>UN</v>
      </c>
      <c r="E21" s="165">
        <f>IF($A21&lt;&gt;"Serviço",0,ROUND(SUMIF($F$9:$P$9,"&lt;&gt;",$F21:$P21),15-13*PO!$X$3))</f>
        <v>4</v>
      </c>
      <c r="F21" s="398">
        <f ca="1">OFFSET(PO!$P$12,ROW($E21)-ROW(F$12),0)</f>
        <v>4</v>
      </c>
      <c r="G21" s="398"/>
      <c r="H21" s="398"/>
      <c r="I21" s="398"/>
      <c r="J21" s="398"/>
      <c r="K21" s="398"/>
      <c r="L21" s="398"/>
      <c r="M21" s="398"/>
      <c r="N21" s="398"/>
      <c r="O21" s="398"/>
      <c r="U21" s="215"/>
    </row>
    <row r="22" spans="1:21" s="4" customFormat="1" ht="12.75">
      <c r="A22" s="128" t="str">
        <f ca="1">OFFSET(PO!J$12,ROW(A22)-ROW($A$12),0)</f>
        <v>Meta</v>
      </c>
      <c r="B22" s="130" t="str">
        <f ca="1">IF($A22=0,"",OFFSET(PO!K$12,ROW(B22)-ROW(B$12),0))</f>
        <v>3.</v>
      </c>
      <c r="C22" s="127" t="str">
        <f ca="1">IF(OFFSET(PO!N$12,ROW(C22)-ROW(C$12),0)=0,"",OFFSET(PO!N$12,ROW(C22)-ROW(C$12),0))</f>
        <v>PAVIMENTAÇÃO</v>
      </c>
      <c r="D22" s="129">
        <f ca="1">IF(OFFSET(PO!O$12,ROW(D22)-ROW(D$12),0)=0,"",OFFSET(PO!O$12,ROW(D22)-ROW(D$12),0))</f>
      </c>
      <c r="E22" s="165">
        <f>IF($A22&lt;&gt;"Serviço",0,ROUND(SUMIF($F$9:$P$9,"&lt;&gt;",$F22:$P22),15-13*PO!$X$3))</f>
        <v>0</v>
      </c>
      <c r="F22" s="398">
        <f ca="1">OFFSET(PO!$P$12,ROW($E22)-ROW(F$12),0)</f>
        <v>0</v>
      </c>
      <c r="G22" s="398"/>
      <c r="H22" s="398"/>
      <c r="I22" s="398"/>
      <c r="J22" s="398"/>
      <c r="K22" s="398"/>
      <c r="L22" s="398"/>
      <c r="M22" s="398"/>
      <c r="N22" s="398"/>
      <c r="O22" s="398"/>
      <c r="U22" s="215"/>
    </row>
    <row r="23" spans="1:21" s="4" customFormat="1" ht="25.5">
      <c r="A23" s="128" t="str">
        <f ca="1">OFFSET(PO!J$12,ROW(A23)-ROW($A$12),0)</f>
        <v>Serviço</v>
      </c>
      <c r="B23" s="130" t="str">
        <f ca="1">IF($A23=0,"",OFFSET(PO!K$12,ROW(B23)-ROW(B$12),0))</f>
        <v>3.1.</v>
      </c>
      <c r="C23" s="127" t="str">
        <f ca="1">IF(OFFSET(PO!N$12,ROW(C23)-ROW(C$12),0)=0,"",OFFSET(PO!N$12,ROW(C23)-ROW(C$12),0))</f>
        <v>REGULARIZACAO E COMPACTACAO DE SUBLEITO ATE 20 CM DE ESPESSURA</v>
      </c>
      <c r="D23" s="129" t="str">
        <f ca="1">IF(OFFSET(PO!O$12,ROW(D23)-ROW(D$12),0)=0,"",OFFSET(PO!O$12,ROW(D23)-ROW(D$12),0))</f>
        <v>M2</v>
      </c>
      <c r="E23" s="165">
        <f>IF($A23&lt;&gt;"Serviço",0,ROUND(SUMIF($F$9:$P$9,"&lt;&gt;",$F23:$P23),15-13*PO!$X$3))</f>
        <v>2295.25</v>
      </c>
      <c r="F23" s="398">
        <f ca="1">OFFSET(PO!$P$12,ROW($E23)-ROW(F$12),0)</f>
        <v>2295.25</v>
      </c>
      <c r="G23" s="398"/>
      <c r="H23" s="398"/>
      <c r="I23" s="398"/>
      <c r="J23" s="398"/>
      <c r="K23" s="398"/>
      <c r="L23" s="398"/>
      <c r="M23" s="398"/>
      <c r="N23" s="398"/>
      <c r="O23" s="398"/>
      <c r="U23" s="215"/>
    </row>
    <row r="24" spans="1:21" s="4" customFormat="1" ht="38.25">
      <c r="A24" s="128" t="str">
        <f ca="1">OFFSET(PO!J$12,ROW(A24)-ROW($A$12),0)</f>
        <v>Serviço</v>
      </c>
      <c r="B24" s="130" t="str">
        <f ca="1">IF($A24=0,"",OFFSET(PO!K$12,ROW(B24)-ROW(B$12),0))</f>
        <v>3.2.</v>
      </c>
      <c r="C24" s="127" t="str">
        <f ca="1">IF(OFFSET(PO!N$12,ROW(C24)-ROW(C$12),0)=0,"",OFFSET(PO!N$12,ROW(C24)-ROW(C$12),0))</f>
        <v>BLOQUETE/PISO INTERTRAVADO DE CONCRETO - ONDA/16 FACES/UNISTEIN/PAVIS, *22 CM X 11* CM, E = 8 CM, RESISTENCIA DE 35 MPA (NBR 9781), COR NATURAL</v>
      </c>
      <c r="D24" s="129" t="str">
        <f ca="1">IF(OFFSET(PO!O$12,ROW(D24)-ROW(D$12),0)=0,"",OFFSET(PO!O$12,ROW(D24)-ROW(D$12),0))</f>
        <v>M2</v>
      </c>
      <c r="E24" s="165">
        <f>IF($A24&lt;&gt;"Serviço",0,ROUND(SUMIF($F$9:$P$9,"&lt;&gt;",$F24:$P24),15-13*PO!$X$3))</f>
        <v>2295.25</v>
      </c>
      <c r="F24" s="398">
        <f ca="1">OFFSET(PO!$P$12,ROW($E24)-ROW(F$12),0)</f>
        <v>2295.25</v>
      </c>
      <c r="G24" s="398"/>
      <c r="H24" s="398"/>
      <c r="I24" s="398"/>
      <c r="J24" s="398"/>
      <c r="K24" s="398"/>
      <c r="L24" s="398"/>
      <c r="M24" s="398"/>
      <c r="N24" s="398"/>
      <c r="O24" s="398"/>
      <c r="U24" s="215"/>
    </row>
    <row r="25" spans="1:21" s="4" customFormat="1" ht="12.75">
      <c r="A25" s="128" t="str">
        <f ca="1">OFFSET(PO!J$12,ROW(A25)-ROW($A$12),0)</f>
        <v>Serviço</v>
      </c>
      <c r="B25" s="130" t="str">
        <f ca="1">IF($A25=0,"",OFFSET(PO!K$12,ROW(B25)-ROW(B$12),0))</f>
        <v>3.3.</v>
      </c>
      <c r="C25" s="127" t="str">
        <f ca="1">IF(OFFSET(PO!N$12,ROW(C25)-ROW(C$12),0)=0,"",OFFSET(PO!N$12,ROW(C25)-ROW(C$12),0))</f>
        <v>ASSENTAMENTO DE BLOCO INTERTRAVADO S/ BLOQUETE</v>
      </c>
      <c r="D25" s="129" t="str">
        <f ca="1">IF(OFFSET(PO!O$12,ROW(D25)-ROW(D$12),0)=0,"",OFFSET(PO!O$12,ROW(D25)-ROW(D$12),0))</f>
        <v>M2</v>
      </c>
      <c r="E25" s="165">
        <f>IF($A25&lt;&gt;"Serviço",0,ROUND(SUMIF($F$9:$P$9,"&lt;&gt;",$F25:$P25),15-13*PO!$X$3))</f>
        <v>2295.25</v>
      </c>
      <c r="F25" s="398">
        <f ca="1">OFFSET(PO!$P$12,ROW($E25)-ROW(F$12),0)</f>
        <v>2295.25</v>
      </c>
      <c r="G25" s="398"/>
      <c r="H25" s="398"/>
      <c r="I25" s="398"/>
      <c r="J25" s="398"/>
      <c r="K25" s="398"/>
      <c r="L25" s="398"/>
      <c r="M25" s="398"/>
      <c r="N25" s="398"/>
      <c r="O25" s="398"/>
      <c r="U25" s="215"/>
    </row>
    <row r="26" spans="1:21" s="4" customFormat="1" ht="25.5">
      <c r="A26" s="128" t="str">
        <f ca="1">OFFSET(PO!J$12,ROW(A26)-ROW($A$12),0)</f>
        <v>Serviço</v>
      </c>
      <c r="B26" s="130" t="str">
        <f ca="1">IF($A26=0,"",OFFSET(PO!K$12,ROW(B26)-ROW(B$12),0))</f>
        <v>3.4.</v>
      </c>
      <c r="C26" s="127" t="str">
        <f ca="1">IF(OFFSET(PO!N$12,ROW(C26)-ROW(C$12),0)=0,"",OFFSET(PO!N$12,ROW(C26)-ROW(C$12),0))</f>
        <v>TRANSPORTE COMERCIAL COM CAMINHAO CARROCERIA 9 T, RODOVIA PAVIMENTADA</v>
      </c>
      <c r="D26" s="129" t="str">
        <f ca="1">IF(OFFSET(PO!O$12,ROW(D26)-ROW(D$12),0)=0,"",OFFSET(PO!O$12,ROW(D26)-ROW(D$12),0))</f>
        <v>TXKM</v>
      </c>
      <c r="E26" s="165">
        <f>IF($A26&lt;&gt;"Serviço",0,ROUND(SUMIF($F$9:$P$9,"&lt;&gt;",$F26:$P26),15-13*PO!$X$3))</f>
        <v>64047.8</v>
      </c>
      <c r="F26" s="398">
        <f ca="1">OFFSET(PO!$P$12,ROW($E26)-ROW(F$12),0)</f>
        <v>64047.8</v>
      </c>
      <c r="G26" s="398"/>
      <c r="H26" s="398"/>
      <c r="I26" s="398"/>
      <c r="J26" s="398"/>
      <c r="K26" s="398"/>
      <c r="L26" s="398"/>
      <c r="M26" s="398"/>
      <c r="N26" s="398"/>
      <c r="O26" s="398"/>
      <c r="U26" s="215"/>
    </row>
    <row r="27" spans="1:21" s="4" customFormat="1" ht="63.75">
      <c r="A27" s="128" t="str">
        <f ca="1">OFFSET(PO!J$12,ROW(A27)-ROW($A$12),0)</f>
        <v>Serviço</v>
      </c>
      <c r="B27" s="130" t="str">
        <f ca="1">IF($A27=0,"",OFFSET(PO!K$12,ROW(B27)-ROW(B$12),0))</f>
        <v>3.5.</v>
      </c>
      <c r="C27" s="127" t="str">
        <f ca="1">IF(OFFSET(PO!N$12,ROW(C27)-ROW(C$12),0)=0,"",OFFSET(PO!N$12,ROW(C27)-ROW(C$12),0))</f>
        <v>ASSENTAMENTO DE GUIA (MEIO-FIO) EM TRECHO RETO, CONFECCIONADA EM CONCRETO PRÉ-FABRICADO, DIMENSÕES 100X15X13X30 CM (COMPRIMENTO X BASE INFERIOR X BASE SUPERIOR X ALTURA), PARA VIAS URBANAS (USO VIÁRIO). AF_06/2016</v>
      </c>
      <c r="D27" s="129" t="str">
        <f ca="1">IF(OFFSET(PO!O$12,ROW(D27)-ROW(D$12),0)=0,"",OFFSET(PO!O$12,ROW(D27)-ROW(D$12),0))</f>
        <v>M</v>
      </c>
      <c r="E27" s="165">
        <f>IF($A27&lt;&gt;"Serviço",0,ROUND(SUMIF($F$9:$P$9,"&lt;&gt;",$F27:$P27),15-13*PO!$X$3))</f>
        <v>752.89</v>
      </c>
      <c r="F27" s="398">
        <f ca="1">OFFSET(PO!$P$12,ROW($E27)-ROW(F$12),0)</f>
        <v>752.89</v>
      </c>
      <c r="G27" s="398"/>
      <c r="H27" s="398"/>
      <c r="I27" s="398"/>
      <c r="J27" s="398"/>
      <c r="K27" s="398"/>
      <c r="L27" s="398"/>
      <c r="M27" s="398"/>
      <c r="N27" s="398"/>
      <c r="O27" s="398"/>
      <c r="U27" s="215"/>
    </row>
    <row r="28" spans="1:21" s="4" customFormat="1" ht="25.5">
      <c r="A28" s="128" t="str">
        <f ca="1">OFFSET(PO!J$12,ROW(A28)-ROW($A$12),0)</f>
        <v>Serviço</v>
      </c>
      <c r="B28" s="130" t="str">
        <f ca="1">IF($A28=0,"",OFFSET(PO!K$12,ROW(B28)-ROW(B$12),0))</f>
        <v>3.6.</v>
      </c>
      <c r="C28" s="127" t="str">
        <f ca="1">IF(OFFSET(PO!N$12,ROW(C28)-ROW(C$12),0)=0,"",OFFSET(PO!N$12,ROW(C28)-ROW(C$12),0))</f>
        <v>ATERRO MANUAL DE VALAS COM AREIA PARA ATERRO E COMPACTAÇÃO MECANIZADA. AF_05/2016</v>
      </c>
      <c r="D28" s="129" t="str">
        <f ca="1">IF(OFFSET(PO!O$12,ROW(D28)-ROW(D$12),0)=0,"",OFFSET(PO!O$12,ROW(D28)-ROW(D$12),0))</f>
        <v>M3</v>
      </c>
      <c r="E28" s="165">
        <f>IF($A28&lt;&gt;"Serviço",0,ROUND(SUMIF($F$9:$P$9,"&lt;&gt;",$F28:$P28),15-13*PO!$X$3))</f>
        <v>225.87</v>
      </c>
      <c r="F28" s="398">
        <f ca="1">OFFSET(PO!$P$12,ROW($E28)-ROW(F$12),0)</f>
        <v>225.867</v>
      </c>
      <c r="G28" s="398"/>
      <c r="H28" s="398"/>
      <c r="I28" s="398"/>
      <c r="J28" s="398"/>
      <c r="K28" s="398"/>
      <c r="L28" s="398"/>
      <c r="M28" s="398"/>
      <c r="N28" s="398"/>
      <c r="O28" s="398"/>
      <c r="U28" s="215"/>
    </row>
    <row r="29" spans="1:21" s="4" customFormat="1" ht="12.75">
      <c r="A29" s="83"/>
      <c r="B29" s="83"/>
      <c r="C29" s="83"/>
      <c r="D29" s="83"/>
      <c r="E29" s="83"/>
      <c r="F29" s="83"/>
      <c r="G29" s="83"/>
      <c r="H29" s="83"/>
      <c r="I29" s="83"/>
      <c r="J29" s="83"/>
      <c r="K29" s="83"/>
      <c r="L29" s="83"/>
      <c r="M29" s="83"/>
      <c r="N29" s="83"/>
      <c r="O29" s="83"/>
      <c r="U29" s="83"/>
    </row>
    <row r="30" spans="2:21" s="4" customFormat="1" ht="12.75">
      <c r="B30" s="9"/>
      <c r="C30" s="14"/>
      <c r="D30" s="9"/>
      <c r="E30" s="16"/>
      <c r="F30" s="16"/>
      <c r="G30" s="16"/>
      <c r="H30" s="16"/>
      <c r="I30" s="16"/>
      <c r="J30" s="16"/>
      <c r="K30" s="16"/>
      <c r="L30" s="16"/>
      <c r="M30" s="16"/>
      <c r="N30" s="16"/>
      <c r="O30" s="16"/>
      <c r="U30" s="16"/>
    </row>
    <row r="31" spans="2:21" s="4" customFormat="1" ht="12.75">
      <c r="B31" s="370" t="str">
        <f>PO!$K$40</f>
        <v>CANDIOTA/RS</v>
      </c>
      <c r="C31" s="370"/>
      <c r="D31" s="9"/>
      <c r="E31" s="16"/>
      <c r="F31" s="16"/>
      <c r="G31" s="16"/>
      <c r="H31" s="16"/>
      <c r="I31" s="16"/>
      <c r="J31" s="16"/>
      <c r="K31" s="16"/>
      <c r="L31" s="16"/>
      <c r="M31" s="16"/>
      <c r="N31" s="16"/>
      <c r="O31" s="16"/>
      <c r="U31" s="16"/>
    </row>
    <row r="32" spans="2:21" s="4" customFormat="1" ht="12.75">
      <c r="B32" s="113" t="s">
        <v>120</v>
      </c>
      <c r="C32" s="14"/>
      <c r="D32" s="9"/>
      <c r="E32" s="16"/>
      <c r="F32" s="16"/>
      <c r="G32" s="16"/>
      <c r="H32" s="16"/>
      <c r="I32" s="16"/>
      <c r="J32" s="16"/>
      <c r="K32" s="16"/>
      <c r="L32" s="16"/>
      <c r="M32" s="16"/>
      <c r="N32" s="16"/>
      <c r="O32" s="16"/>
      <c r="U32" s="16"/>
    </row>
    <row r="33" spans="2:21" s="4" customFormat="1" ht="12.75">
      <c r="B33" s="14"/>
      <c r="C33" s="14"/>
      <c r="D33" s="9"/>
      <c r="E33" s="16"/>
      <c r="F33" s="16"/>
      <c r="G33" s="16"/>
      <c r="H33" s="16"/>
      <c r="I33" s="16"/>
      <c r="J33" s="16"/>
      <c r="K33" s="16"/>
      <c r="L33" s="16"/>
      <c r="M33" s="16"/>
      <c r="N33" s="16"/>
      <c r="O33" s="16"/>
      <c r="U33" s="16"/>
    </row>
    <row r="34" spans="2:21" s="4" customFormat="1" ht="12.75">
      <c r="B34" s="371">
        <f>PO!$K$43</f>
        <v>43319</v>
      </c>
      <c r="C34" s="371"/>
      <c r="D34" s="9"/>
      <c r="E34" s="16"/>
      <c r="F34" s="16"/>
      <c r="G34" s="16"/>
      <c r="H34" s="16"/>
      <c r="I34" s="16"/>
      <c r="J34" s="16"/>
      <c r="K34" s="16"/>
      <c r="L34" s="16"/>
      <c r="M34" s="16"/>
      <c r="N34" s="16"/>
      <c r="O34" s="16"/>
      <c r="U34" s="16"/>
    </row>
    <row r="35" spans="2:21" s="4" customFormat="1" ht="12.75">
      <c r="B35" s="142" t="s">
        <v>121</v>
      </c>
      <c r="C35" s="143"/>
      <c r="D35" s="9"/>
      <c r="E35" s="16"/>
      <c r="F35" s="16"/>
      <c r="G35" s="16"/>
      <c r="H35" s="16"/>
      <c r="I35" s="16"/>
      <c r="J35" s="16"/>
      <c r="K35" s="16"/>
      <c r="L35" s="16"/>
      <c r="M35" s="16"/>
      <c r="N35" s="16"/>
      <c r="O35" s="16"/>
      <c r="U35" s="16"/>
    </row>
  </sheetData>
  <sheetProtection password="C95B" sheet="1" objects="1" scenarios="1"/>
  <mergeCells count="2">
    <mergeCell ref="B31:C31"/>
    <mergeCell ref="B34:C34"/>
  </mergeCells>
  <conditionalFormatting sqref="D11:E11 D26:E27 D13:E15 D22:E24">
    <cfRule type="expression" priority="820" dxfId="86" stopIfTrue="1">
      <formula>$A11="Meta"</formula>
    </cfRule>
    <cfRule type="expression" priority="821" dxfId="95" stopIfTrue="1">
      <formula>$A11&lt;&gt;"Serviço"</formula>
    </cfRule>
  </conditionalFormatting>
  <conditionalFormatting sqref="C11 C26:C27 C13:C15 C22:C24">
    <cfRule type="expression" priority="822" dxfId="92" stopIfTrue="1">
      <formula>$A11="Meta"</formula>
    </cfRule>
    <cfRule type="expression" priority="823" dxfId="91" stopIfTrue="1">
      <formula>$A11&lt;&gt;"Serviço"</formula>
    </cfRule>
  </conditionalFormatting>
  <conditionalFormatting sqref="A11:B11 A26:B27 A13:B15 A22:B24">
    <cfRule type="expression" priority="824" dxfId="92" stopIfTrue="1">
      <formula>$A11="Meta"</formula>
    </cfRule>
    <cfRule type="expression" priority="825" dxfId="91" stopIfTrue="1">
      <formula>LEFT($A11,5)="Nível"</formula>
    </cfRule>
    <cfRule type="expression" priority="826" dxfId="85" stopIfTrue="1">
      <formula>$A11=0</formula>
    </cfRule>
  </conditionalFormatting>
  <conditionalFormatting sqref="U11 F13:O15 U13:U15 U22:U27 F22:O27">
    <cfRule type="expression" priority="836" dxfId="86" stopIfTrue="1">
      <formula>$A11="Meta"</formula>
    </cfRule>
    <cfRule type="expression" priority="837" dxfId="85" stopIfTrue="1">
      <formula>OR(F$9=0,$A11&lt;&gt;"Serviço")</formula>
    </cfRule>
    <cfRule type="expression" priority="838" dxfId="5" stopIfTrue="1">
      <formula>TipoOrçamento="Licitado"</formula>
    </cfRule>
  </conditionalFormatting>
  <conditionalFormatting sqref="U9">
    <cfRule type="expression" priority="258" dxfId="85" stopIfTrue="1">
      <formula>AND(T9=0,U9=0)</formula>
    </cfRule>
    <cfRule type="expression" priority="259" dxfId="5" stopIfTrue="1">
      <formula>TipoOrçamento="Licitado"</formula>
    </cfRule>
  </conditionalFormatting>
  <conditionalFormatting sqref="F11:O11">
    <cfRule type="expression" priority="218" dxfId="86" stopIfTrue="1">
      <formula>$A11="Meta"</formula>
    </cfRule>
    <cfRule type="expression" priority="219" dxfId="85" stopIfTrue="1">
      <formula>OR(F$9=0,$A11&lt;&gt;"Serviço")</formula>
    </cfRule>
    <cfRule type="expression" priority="220" dxfId="5" stopIfTrue="1">
      <formula>TipoOrçamento="Licitado"</formula>
    </cfRule>
  </conditionalFormatting>
  <conditionalFormatting sqref="F9:O9">
    <cfRule type="expression" priority="216" dxfId="85" stopIfTrue="1">
      <formula>AND(E9=0,F9=0)</formula>
    </cfRule>
    <cfRule type="expression" priority="217" dxfId="5" stopIfTrue="1">
      <formula>TipoOrçamento="Licitado"</formula>
    </cfRule>
  </conditionalFormatting>
  <conditionalFormatting sqref="D25:E25">
    <cfRule type="expression" priority="121" dxfId="86" stopIfTrue="1">
      <formula>$A25="Meta"</formula>
    </cfRule>
    <cfRule type="expression" priority="122" dxfId="95" stopIfTrue="1">
      <formula>$A25&lt;&gt;"Serviço"</formula>
    </cfRule>
  </conditionalFormatting>
  <conditionalFormatting sqref="C25">
    <cfRule type="expression" priority="123" dxfId="92" stopIfTrue="1">
      <formula>$A25="Meta"</formula>
    </cfRule>
    <cfRule type="expression" priority="124" dxfId="91" stopIfTrue="1">
      <formula>$A25&lt;&gt;"Serviço"</formula>
    </cfRule>
  </conditionalFormatting>
  <conditionalFormatting sqref="A25:B25">
    <cfRule type="expression" priority="125" dxfId="92" stopIfTrue="1">
      <formula>$A25="Meta"</formula>
    </cfRule>
    <cfRule type="expression" priority="126" dxfId="91" stopIfTrue="1">
      <formula>LEFT($A25,5)="Nível"</formula>
    </cfRule>
    <cfRule type="expression" priority="127" dxfId="85" stopIfTrue="1">
      <formula>$A25=0</formula>
    </cfRule>
  </conditionalFormatting>
  <conditionalFormatting sqref="D16:E17 D20:E21">
    <cfRule type="expression" priority="30" dxfId="86" stopIfTrue="1">
      <formula>$A16="Meta"</formula>
    </cfRule>
    <cfRule type="expression" priority="31" dxfId="95" stopIfTrue="1">
      <formula>$A16&lt;&gt;"Serviço"</formula>
    </cfRule>
  </conditionalFormatting>
  <conditionalFormatting sqref="C16:C17 C20:C21">
    <cfRule type="expression" priority="32" dxfId="92" stopIfTrue="1">
      <formula>$A16="Meta"</formula>
    </cfRule>
    <cfRule type="expression" priority="33" dxfId="91" stopIfTrue="1">
      <formula>$A16&lt;&gt;"Serviço"</formula>
    </cfRule>
  </conditionalFormatting>
  <conditionalFormatting sqref="A16:B17 A20:B21">
    <cfRule type="expression" priority="34" dxfId="92" stopIfTrue="1">
      <formula>$A16="Meta"</formula>
    </cfRule>
    <cfRule type="expression" priority="35" dxfId="91" stopIfTrue="1">
      <formula>LEFT($A16,5)="Nível"</formula>
    </cfRule>
    <cfRule type="expression" priority="36" dxfId="85" stopIfTrue="1">
      <formula>$A16=0</formula>
    </cfRule>
  </conditionalFormatting>
  <conditionalFormatting sqref="U16:U17 U20:U21">
    <cfRule type="expression" priority="37" dxfId="86" stopIfTrue="1">
      <formula>$A16="Meta"</formula>
    </cfRule>
    <cfRule type="expression" priority="38" dxfId="85" stopIfTrue="1">
      <formula>OR(U$9=0,$A16&lt;&gt;"Serviço")</formula>
    </cfRule>
    <cfRule type="expression" priority="39" dxfId="5" stopIfTrue="1">
      <formula>TipoOrçamento="Licitado"</formula>
    </cfRule>
  </conditionalFormatting>
  <conditionalFormatting sqref="F16:O17 F20:O21">
    <cfRule type="expression" priority="27" dxfId="86" stopIfTrue="1">
      <formula>$A16="Meta"</formula>
    </cfRule>
    <cfRule type="expression" priority="28" dxfId="85" stopIfTrue="1">
      <formula>OR(F$9=0,$A16&lt;&gt;"Serviço")</formula>
    </cfRule>
    <cfRule type="expression" priority="29" dxfId="5" stopIfTrue="1">
      <formula>TipoOrçamento="Licitado"</formula>
    </cfRule>
  </conditionalFormatting>
  <conditionalFormatting sqref="D18:E19">
    <cfRule type="expression" priority="17" dxfId="86" stopIfTrue="1">
      <formula>$A18="Meta"</formula>
    </cfRule>
    <cfRule type="expression" priority="18" dxfId="95" stopIfTrue="1">
      <formula>$A18&lt;&gt;"Serviço"</formula>
    </cfRule>
  </conditionalFormatting>
  <conditionalFormatting sqref="C18:C19">
    <cfRule type="expression" priority="19" dxfId="92" stopIfTrue="1">
      <formula>$A18="Meta"</formula>
    </cfRule>
    <cfRule type="expression" priority="20" dxfId="91" stopIfTrue="1">
      <formula>$A18&lt;&gt;"Serviço"</formula>
    </cfRule>
  </conditionalFormatting>
  <conditionalFormatting sqref="A18:B19">
    <cfRule type="expression" priority="21" dxfId="92" stopIfTrue="1">
      <formula>$A18="Meta"</formula>
    </cfRule>
    <cfRule type="expression" priority="22" dxfId="91" stopIfTrue="1">
      <formula>LEFT($A18,5)="Nível"</formula>
    </cfRule>
    <cfRule type="expression" priority="23" dxfId="85" stopIfTrue="1">
      <formula>$A18=0</formula>
    </cfRule>
  </conditionalFormatting>
  <conditionalFormatting sqref="U18:U19">
    <cfRule type="expression" priority="24" dxfId="86" stopIfTrue="1">
      <formula>$A18="Meta"</formula>
    </cfRule>
    <cfRule type="expression" priority="25" dxfId="85" stopIfTrue="1">
      <formula>OR(U$9=0,$A18&lt;&gt;"Serviço")</formula>
    </cfRule>
    <cfRule type="expression" priority="26" dxfId="5" stopIfTrue="1">
      <formula>TipoOrçamento="Licitado"</formula>
    </cfRule>
  </conditionalFormatting>
  <conditionalFormatting sqref="F18:O19">
    <cfRule type="expression" priority="14" dxfId="86" stopIfTrue="1">
      <formula>$A18="Meta"</formula>
    </cfRule>
    <cfRule type="expression" priority="15" dxfId="85" stopIfTrue="1">
      <formula>OR(F$9=0,$A18&lt;&gt;"Serviço")</formula>
    </cfRule>
    <cfRule type="expression" priority="16" dxfId="5" stopIfTrue="1">
      <formula>TipoOrçamento="Licitado"</formula>
    </cfRule>
  </conditionalFormatting>
  <conditionalFormatting sqref="D28:E28">
    <cfRule type="expression" priority="4" dxfId="86" stopIfTrue="1">
      <formula>$A28="Meta"</formula>
    </cfRule>
    <cfRule type="expression" priority="5" dxfId="95" stopIfTrue="1">
      <formula>$A28&lt;&gt;"Serviço"</formula>
    </cfRule>
  </conditionalFormatting>
  <conditionalFormatting sqref="C28">
    <cfRule type="expression" priority="6" dxfId="92" stopIfTrue="1">
      <formula>$A28="Meta"</formula>
    </cfRule>
    <cfRule type="expression" priority="7" dxfId="91" stopIfTrue="1">
      <formula>$A28&lt;&gt;"Serviço"</formula>
    </cfRule>
  </conditionalFormatting>
  <conditionalFormatting sqref="A28:B28">
    <cfRule type="expression" priority="8" dxfId="92" stopIfTrue="1">
      <formula>$A28="Meta"</formula>
    </cfRule>
    <cfRule type="expression" priority="9" dxfId="91" stopIfTrue="1">
      <formula>LEFT($A28,5)="Nível"</formula>
    </cfRule>
    <cfRule type="expression" priority="10" dxfId="85" stopIfTrue="1">
      <formula>$A28=0</formula>
    </cfRule>
  </conditionalFormatting>
  <conditionalFormatting sqref="U28">
    <cfRule type="expression" priority="11" dxfId="86" stopIfTrue="1">
      <formula>$A28="Meta"</formula>
    </cfRule>
    <cfRule type="expression" priority="12" dxfId="85" stopIfTrue="1">
      <formula>OR(U$9=0,$A28&lt;&gt;"Serviço")</formula>
    </cfRule>
    <cfRule type="expression" priority="13" dxfId="5" stopIfTrue="1">
      <formula>TipoOrçamento="Licitado"</formula>
    </cfRule>
  </conditionalFormatting>
  <conditionalFormatting sqref="F28:O28">
    <cfRule type="expression" priority="1" dxfId="86" stopIfTrue="1">
      <formula>$A28="Meta"</formula>
    </cfRule>
    <cfRule type="expression" priority="2" dxfId="85" stopIfTrue="1">
      <formula>OR(F$9=0,$A28&lt;&gt;"Serviço")</formula>
    </cfRule>
    <cfRule type="expression" priority="3" dxfId="5" stopIfTrue="1">
      <formula>TipoOrçamento="Licitado"</formula>
    </cfRule>
  </conditionalFormatting>
  <dataValidations count="1">
    <dataValidation type="decimal" operator="greaterThanOrEqual" allowBlank="1" showInputMessage="1" showErrorMessage="1" error="Digite apenas números.&#10;&#10;preferencialmente com 02 casas de precisão." sqref="U11 F11:O11 F14:O28 U14:U28">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34 B31" unlockedFormula="1"/>
    <ignoredError sqref="A12 C12" formula="1"/>
  </ignoredErrors>
  <drawing r:id="rId2"/>
  <legacyDrawing r:id="rId1"/>
</worksheet>
</file>

<file path=xl/worksheets/sheet6.xml><?xml version="1.0" encoding="utf-8"?>
<worksheet xmlns="http://schemas.openxmlformats.org/spreadsheetml/2006/main" xmlns:r="http://schemas.openxmlformats.org/officeDocument/2006/relationships">
  <sheetPr codeName="Plan6">
    <tabColor rgb="FFFFFF00"/>
    <outlinePr summaryBelow="0"/>
  </sheetPr>
  <dimension ref="A1:AC37"/>
  <sheetViews>
    <sheetView showGridLines="0" zoomScaleSheetLayoutView="100" zoomScalePageLayoutView="0" workbookViewId="0" topLeftCell="L14">
      <selection activeCell="R22" sqref="R22"/>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75"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7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7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7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176</v>
      </c>
      <c r="B8" s="1"/>
      <c r="C8" s="1"/>
      <c r="D8" s="1"/>
      <c r="E8" s="1"/>
      <c r="F8" s="1"/>
      <c r="G8" s="1"/>
      <c r="H8" s="1"/>
      <c r="I8" s="1"/>
      <c r="J8" s="1"/>
      <c r="K8" s="1"/>
      <c r="L8" s="392" t="str">
        <f ca="1">IF(MAX($A$14:$A$28)&lt;&gt;MAX(PO!$V$12:$V$29),"ERRO: CRONOGRAMA DESATUALIZADO",IF(OR(COUNTIF($O$16:$X$16,"&gt;1")&gt;0,OFFSET($X$17,0,-1)&lt;&gt;$N$14),"ERRO: CRONOGRAMA NÃO FECHA EM 100%",""))</f>
        <v>ERRO: CRONOGRAMA NÃO FECHA EM 100%</v>
      </c>
      <c r="M8" s="392"/>
      <c r="N8" s="160">
        <f>IF(TipoOrçamento="REPROGRAMADOAC","Qtde de Medições realizadas","")</f>
      </c>
      <c r="O8" s="178"/>
      <c r="P8" s="179"/>
      <c r="Q8" s="1"/>
      <c r="R8" s="1"/>
      <c r="S8" s="1"/>
      <c r="T8" s="1"/>
      <c r="U8" s="1"/>
      <c r="V8" s="1"/>
      <c r="W8" s="1"/>
      <c r="X8" s="1"/>
      <c r="AC8" s="1"/>
    </row>
    <row r="9" spans="1:29" s="41" customFormat="1" ht="13.5"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03/09/18</v>
      </c>
      <c r="P10" s="219" t="str">
        <f>IF(AND(TipoOrçamento="REPROGRAMADOAC",$N$9&gt;0,N10="Valores Totais (R$)"),"Parcela "&amp;$N$9&amp;" Executado","Parcela "&amp;P$9&amp;CHAR(10)&amp;TEXT(DATE(YEAR(DADOS!$A$48),MONTH(DADOS!$A$48)+P$9-IF(AND(TipoOrçamento="REPROGRAMADOAC",$N$9&gt;0),$N$9,0),1),"mmm/aa"))</f>
        <v>Parcela 1
out/18</v>
      </c>
      <c r="Q10" s="210" t="str">
        <f>IF(AND(TipoOrçamento="REPROGRAMADOAC",$N$9&gt;0,O10="Valores Totais (R$)"),"Parcela "&amp;$N$9&amp;" Executado","Parcela "&amp;Q$9&amp;CHAR(10)&amp;TEXT(DATE(YEAR(DADOS!$A$48),MONTH(DADOS!$A$48)+Q$9-IF(AND(TipoOrçamento="REPROGRAMADOAC",$N$9&gt;0),$N$9,0),1),"mmm/aa"))</f>
        <v>Parcela 2
nov/18</v>
      </c>
      <c r="R10" s="210" t="str">
        <f>IF(AND(TipoOrçamento="REPROGRAMADOAC",$N$9&gt;0,P10="Valores Totais (R$)"),"Parcela "&amp;$N$9&amp;" Executado","Parcela "&amp;R$9&amp;CHAR(10)&amp;TEXT(DATE(YEAR(DADOS!$A$48),MONTH(DADOS!$A$48)+R$9-IF(AND(TipoOrçamento="REPROGRAMADOAC",$N$9&gt;0),$N$9,0),1),"mmm/aa"))</f>
        <v>Parcela 3
dez/18</v>
      </c>
      <c r="S10" s="210" t="str">
        <f>IF(AND(TipoOrçamento="REPROGRAMADOAC",$N$9&gt;0,Q10="Valores Totais (R$)"),"Parcela "&amp;$N$9&amp;" Executado","Parcela "&amp;S$9&amp;CHAR(10)&amp;TEXT(DATE(YEAR(DADOS!$A$48),MONTH(DADOS!$A$48)+S$9-IF(AND(TipoOrçamento="REPROGRAMADOAC",$N$9&gt;0),$N$9,0),1),"mmm/aa"))</f>
        <v>Parcela 4
jan/19</v>
      </c>
      <c r="T10" s="210" t="str">
        <f>IF(AND(TipoOrçamento="REPROGRAMADOAC",$N$9&gt;0,R10="Valores Totais (R$)"),"Parcela "&amp;$N$9&amp;" Executado","Parcela "&amp;T$9&amp;CHAR(10)&amp;TEXT(DATE(YEAR(DADOS!$A$48),MONTH(DADOS!$A$48)+T$9-IF(AND(TipoOrçamento="REPROGRAMADOAC",$N$9&gt;0),$N$9,0),1),"mmm/aa"))</f>
        <v>Parcela 5
fev/19</v>
      </c>
      <c r="U10" s="210" t="str">
        <f>IF(AND(TipoOrçamento="REPROGRAMADOAC",$N$9&gt;0,S10="Valores Totais (R$)"),"Parcela "&amp;$N$9&amp;" Executado","Parcela "&amp;U$9&amp;CHAR(10)&amp;TEXT(DATE(YEAR(DADOS!$A$48),MONTH(DADOS!$A$48)+U$9-IF(AND(TipoOrçamento="REPROGRAMADOAC",$N$9&gt;0),$N$9,0),1),"mmm/aa"))</f>
        <v>Parcela 6
mar/19</v>
      </c>
      <c r="V10" s="210" t="str">
        <f>IF(AND(TipoOrçamento="REPROGRAMADOAC",$N$9&gt;0,T10="Valores Totais (R$)"),"Parcela "&amp;$N$9&amp;" Executado","Parcela "&amp;V$9&amp;CHAR(10)&amp;TEXT(DATE(YEAR(DADOS!$A$48),MONTH(DADOS!$A$48)+V$9-IF(AND(TipoOrçamento="REPROGRAMADOAC",$N$9&gt;0),$N$9,0),1),"mmm/aa"))</f>
        <v>Parcela 7
abr/19</v>
      </c>
      <c r="W10" s="222" t="str">
        <f>IF(AND(TipoOrçamento="REPROGRAMADOAC",$N$9&gt;0,U10="Valores Totais (R$)"),"Parcela "&amp;$N$9&amp;" Executado","Parcela "&amp;W$9&amp;CHAR(10)&amp;TEXT(DATE(YEAR(DADOS!$A$48),MONTH(DADOS!$A$48)+W$9-IF(AND(TipoOrçamento="REPROGRAMADOAC",$N$9&gt;0),$N$9,0),1),"mmm/aa"))</f>
        <v>Parcela 8
mai/19</v>
      </c>
      <c r="X10" s="195"/>
      <c r="AC10" s="210" t="str">
        <f>IF(AND(TipoOrçamento="REPROGRAMADOAC",$N$9&gt;0,AA10="Valores Totais (R$)"),"Parcela "&amp;$N$9&amp;" Executado","Parcela "&amp;AC$9&amp;CHAR(10)&amp;TEXT(DATE(YEAR(DADOS!$A$48),MONTH(DADOS!$A$48)+AC$9-IF(AND(TipoOrçamento="REPROGRAMADOAC",$N$9&gt;0),$N$9,0),1),"mmm/aa"))</f>
        <v>Parcela 1
out/18</v>
      </c>
    </row>
    <row r="11" spans="1:29" ht="14.25" customHeight="1" hidden="1">
      <c r="A11" s="82"/>
      <c r="B11" s="82"/>
      <c r="C11" s="82"/>
      <c r="D11" s="82"/>
      <c r="E11" s="82"/>
      <c r="F11" s="82"/>
      <c r="G11" s="82"/>
      <c r="H11" s="82"/>
      <c r="I11" s="82"/>
      <c r="J11" s="82"/>
      <c r="K11" s="82"/>
      <c r="L11" s="373" t="e">
        <f>INDEX(PO!K$12:K$29,MATCH($A13,PO!$V$12:$V$29,0))</f>
        <v>#VALUE!</v>
      </c>
      <c r="M11" s="375" t="e">
        <f>INDEX(PO!N$12:N$29,MATCH($A13,PO!$V$12:$V$29,0))</f>
        <v>#VALUE!</v>
      </c>
      <c r="N11" s="386" t="e">
        <f>IF(ROUND(K13,2)=0,K13,ROUND(K13,2))</f>
        <v>#VALUE!</v>
      </c>
      <c r="O11" s="220" t="s">
        <v>143</v>
      </c>
      <c r="P11" s="225" t="e">
        <f>IF($B13,0,P12-IF(ISNUMBER(O12),O12,0))</f>
        <v>#VALUE!</v>
      </c>
      <c r="Q11" s="226" t="e">
        <f aca="true" t="shared" si="1" ref="Q11:W11">IF($B13,0,Q12-IF(ISNUMBER(P12),P12,0))</f>
        <v>#VALUE!</v>
      </c>
      <c r="R11" s="226" t="e">
        <f t="shared" si="1"/>
        <v>#VALUE!</v>
      </c>
      <c r="S11" s="226" t="e">
        <f t="shared" si="1"/>
        <v>#VALUE!</v>
      </c>
      <c r="T11" s="226" t="e">
        <f t="shared" si="1"/>
        <v>#VALUE!</v>
      </c>
      <c r="U11" s="226" t="e">
        <f t="shared" si="1"/>
        <v>#VALUE!</v>
      </c>
      <c r="V11" s="226" t="e">
        <f t="shared" si="1"/>
        <v>#VALUE!</v>
      </c>
      <c r="W11" s="227" t="e">
        <f t="shared" si="1"/>
        <v>#VALUE!</v>
      </c>
      <c r="X11" s="196"/>
      <c r="AC11" s="221" t="e">
        <f>IF($B13,0,AC12-IF(ISNUMBER(AB12),AB12,0))</f>
        <v>#VALUE!</v>
      </c>
    </row>
    <row r="12" spans="1:29" ht="14.25" hidden="1">
      <c r="A12" s="184"/>
      <c r="B12" s="184"/>
      <c r="C12" s="184"/>
      <c r="D12" s="184"/>
      <c r="E12" s="184"/>
      <c r="F12" s="184"/>
      <c r="G12" s="184"/>
      <c r="H12" s="184"/>
      <c r="I12" s="184"/>
      <c r="J12" s="184"/>
      <c r="K12" s="184"/>
      <c r="L12" s="374"/>
      <c r="M12" s="376"/>
      <c r="N12" s="387"/>
      <c r="O12" s="170" t="s">
        <v>145</v>
      </c>
      <c r="P12" s="198" t="e">
        <f>MIN(IF($B13,P11+IF(ISNUMBER(O12),O12,0),P13/$N11),1)</f>
        <v>#VALUE!</v>
      </c>
      <c r="Q12" s="168" t="e">
        <f aca="true" t="shared" si="2" ref="Q12:W12">MIN(IF($B13,Q11+IF(ISNUMBER(P12),P12,0),Q13/$N11),1)</f>
        <v>#VALUE!</v>
      </c>
      <c r="R12" s="168" t="e">
        <f t="shared" si="2"/>
        <v>#VALUE!</v>
      </c>
      <c r="S12" s="168" t="e">
        <f t="shared" si="2"/>
        <v>#VALUE!</v>
      </c>
      <c r="T12" s="168" t="e">
        <f t="shared" si="2"/>
        <v>#VALUE!</v>
      </c>
      <c r="U12" s="168" t="e">
        <f t="shared" si="2"/>
        <v>#VALUE!</v>
      </c>
      <c r="V12" s="168" t="e">
        <f t="shared" si="2"/>
        <v>#VALUE!</v>
      </c>
      <c r="W12" s="168" t="e">
        <f t="shared" si="2"/>
        <v>#VALUE!</v>
      </c>
      <c r="X12" s="196"/>
      <c r="AC12" s="168" t="e">
        <f>MIN(IF($B13,AC11+IF(ISNUMBER(AB12),AB12,0),AC13/$N11),1)</f>
        <v>#VALUE!</v>
      </c>
    </row>
    <row r="13" spans="1:29" ht="14.25" hidden="1">
      <c r="A13" s="184" t="e">
        <f ca="1">OFFSET(A13,-CFF.NumLinha,0)+1</f>
        <v>#VALUE!</v>
      </c>
      <c r="B13" s="184" t="e">
        <f ca="1">$C13&gt;=OFFSET($C13,CFF.NumLinha,0)</f>
        <v>#VALUE!</v>
      </c>
      <c r="C13" s="184" t="e">
        <f>INDEX(PO!A$12:A$29,MATCH($A13,PO!$V$12:$V$29,0))</f>
        <v>#VALUE!</v>
      </c>
      <c r="D13" s="184" t="e">
        <f>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MATCH(0,OFFSET($D13,1,$C13,ROW($A$27)-ROW($A13)),0)</f>
        <v>#VALUE!</v>
      </c>
      <c r="J13" s="184" t="e">
        <f ca="1">MATCH(OFFSET($D13,0,$C13)+1,OFFSET($D13,1,$C13,ROW($A$27)-ROW($A13)),0)</f>
        <v>#VALUE!</v>
      </c>
      <c r="K13" s="185" t="e">
        <f>ROUND(INDEX(PO!T$12:T$29,MATCH($A13,PO!$V$12:$V$29,0)),2)+10^-12</f>
        <v>#VALUE!</v>
      </c>
      <c r="L13" s="374"/>
      <c r="M13" s="376"/>
      <c r="N13" s="387"/>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77" t="s">
        <v>19</v>
      </c>
      <c r="M14" s="378"/>
      <c r="N14" s="383">
        <f>IF(PO!$T$12=0,10^-12,PO!$T$12)</f>
        <v>1E-12</v>
      </c>
      <c r="O14" s="167" t="s">
        <v>143</v>
      </c>
      <c r="P14" s="205">
        <f>ROUND(P15/$N14,4)</f>
        <v>0</v>
      </c>
      <c r="Q14" s="206">
        <f aca="true" t="shared" si="4" ref="Q14:W14">ROUND(Q15/$N14,4)</f>
        <v>0</v>
      </c>
      <c r="R14" s="206">
        <f t="shared" si="4"/>
        <v>0</v>
      </c>
      <c r="S14" s="206">
        <f t="shared" si="4"/>
        <v>0</v>
      </c>
      <c r="T14" s="206">
        <f t="shared" si="4"/>
        <v>0</v>
      </c>
      <c r="U14" s="206">
        <f t="shared" si="4"/>
        <v>0</v>
      </c>
      <c r="V14" s="206">
        <f t="shared" si="4"/>
        <v>0</v>
      </c>
      <c r="W14" s="206">
        <f t="shared" si="4"/>
        <v>0</v>
      </c>
      <c r="X14" s="171"/>
      <c r="AC14" s="206">
        <f>ROUND(AC15/$N14,4)</f>
        <v>0</v>
      </c>
    </row>
    <row r="15" spans="1:29" s="44" customFormat="1" ht="12.75" customHeight="1">
      <c r="A15" s="1"/>
      <c r="B15" s="1"/>
      <c r="C15" s="1"/>
      <c r="D15" s="1"/>
      <c r="E15" s="1"/>
      <c r="F15" s="1"/>
      <c r="G15" s="1"/>
      <c r="H15" s="1"/>
      <c r="I15" s="1"/>
      <c r="J15" s="1"/>
      <c r="K15" s="1"/>
      <c r="L15" s="379"/>
      <c r="M15" s="380"/>
      <c r="N15" s="384"/>
      <c r="O15" s="156" t="s">
        <v>144</v>
      </c>
      <c r="P15" s="200">
        <f>P17-IF(ISNUMBER(O17),O17,0)</f>
        <v>0</v>
      </c>
      <c r="Q15" s="150">
        <f aca="true" t="shared" si="5" ref="Q15:W15">Q17-IF(ISNUMBER(P17),P17,0)</f>
        <v>0</v>
      </c>
      <c r="R15" s="150">
        <f t="shared" si="5"/>
        <v>0</v>
      </c>
      <c r="S15" s="150">
        <f t="shared" si="5"/>
        <v>0</v>
      </c>
      <c r="T15" s="150">
        <f t="shared" si="5"/>
        <v>0</v>
      </c>
      <c r="U15" s="150">
        <f t="shared" si="5"/>
        <v>0</v>
      </c>
      <c r="V15" s="150">
        <f t="shared" si="5"/>
        <v>0</v>
      </c>
      <c r="W15" s="150">
        <f t="shared" si="5"/>
        <v>0</v>
      </c>
      <c r="X15" s="171"/>
      <c r="AC15" s="150">
        <f>AC17-IF(ISNUMBER(AB17),AB17,0)</f>
        <v>0</v>
      </c>
    </row>
    <row r="16" spans="1:29" s="44" customFormat="1" ht="12.75" customHeight="1">
      <c r="A16" s="1"/>
      <c r="B16" s="1"/>
      <c r="C16" s="1"/>
      <c r="D16" s="1"/>
      <c r="E16" s="1"/>
      <c r="F16" s="1"/>
      <c r="G16" s="1"/>
      <c r="H16" s="1"/>
      <c r="I16" s="1"/>
      <c r="J16" s="1"/>
      <c r="K16" s="1"/>
      <c r="L16" s="379"/>
      <c r="M16" s="380"/>
      <c r="N16" s="384"/>
      <c r="O16" s="157" t="s">
        <v>145</v>
      </c>
      <c r="P16" s="201">
        <f>ROUND(P17/$N14,4)</f>
        <v>0</v>
      </c>
      <c r="Q16" s="151">
        <f aca="true" t="shared" si="6" ref="Q16:W16">ROUND(Q17/$N14,4)</f>
        <v>0</v>
      </c>
      <c r="R16" s="151">
        <f t="shared" si="6"/>
        <v>0</v>
      </c>
      <c r="S16" s="151">
        <f t="shared" si="6"/>
        <v>0</v>
      </c>
      <c r="T16" s="151">
        <f t="shared" si="6"/>
        <v>0</v>
      </c>
      <c r="U16" s="151">
        <f t="shared" si="6"/>
        <v>0</v>
      </c>
      <c r="V16" s="151">
        <f t="shared" si="6"/>
        <v>0</v>
      </c>
      <c r="W16" s="151">
        <f t="shared" si="6"/>
        <v>0</v>
      </c>
      <c r="X16" s="171"/>
      <c r="AC16" s="151">
        <f>ROUND(AC17/$N14,4)</f>
        <v>0</v>
      </c>
    </row>
    <row r="17" spans="1:29" s="44" customFormat="1" ht="12.75" customHeight="1">
      <c r="A17" s="114">
        <v>0</v>
      </c>
      <c r="B17" s="1"/>
      <c r="C17" s="1"/>
      <c r="D17" s="114">
        <f>ROW(D$27)-ROW(D18)</f>
        <v>9</v>
      </c>
      <c r="E17" s="1"/>
      <c r="F17" s="1"/>
      <c r="G17" s="1"/>
      <c r="H17" s="1"/>
      <c r="I17" s="1"/>
      <c r="J17" s="1"/>
      <c r="K17" s="1"/>
      <c r="L17" s="381"/>
      <c r="M17" s="382"/>
      <c r="N17" s="385"/>
      <c r="O17" s="158" t="s">
        <v>20</v>
      </c>
      <c r="P17" s="202">
        <f ca="1">SUMIF(OFFSET($C17,1,0):$C$27,1,OFFSET(P17,1,0):P$27)</f>
        <v>0</v>
      </c>
      <c r="Q17" s="152">
        <f ca="1">SUMIF(OFFSET($C17,1,0):$C$27,1,OFFSET(Q17,1,0):Q$27)</f>
        <v>0</v>
      </c>
      <c r="R17" s="152">
        <f ca="1">SUMIF(OFFSET($C17,1,0):$C$27,1,OFFSET(R17,1,0):R$27)</f>
        <v>0</v>
      </c>
      <c r="S17" s="152">
        <f ca="1">SUMIF(OFFSET($C17,1,0):$C$27,1,OFFSET(S17,1,0):S$27)</f>
        <v>0</v>
      </c>
      <c r="T17" s="152">
        <f ca="1">SUMIF(OFFSET($C17,1,0):$C$27,1,OFFSET(T17,1,0):T$27)</f>
        <v>0</v>
      </c>
      <c r="U17" s="152">
        <f ca="1">SUMIF(OFFSET($C17,1,0):$C$27,1,OFFSET(U17,1,0):U$27)</f>
        <v>0</v>
      </c>
      <c r="V17" s="152">
        <f ca="1">SUMIF(OFFSET($C17,1,0):$C$27,1,OFFSET(V17,1,0):V$27)</f>
        <v>0</v>
      </c>
      <c r="W17" s="152">
        <f ca="1">SUMIF(OFFSET($C17,1,0):$C$27,1,OFFSET(W17,1,0):W$27)</f>
        <v>0</v>
      </c>
      <c r="X17" s="171"/>
      <c r="AC17" s="152">
        <f ca="1">SUMIF(OFFSET($C17,1,0):$C$27,1,OFFSET(AC17,1,0):AC$27)</f>
        <v>0</v>
      </c>
    </row>
    <row r="18" spans="1:29" ht="14.25" customHeight="1">
      <c r="A18" s="1"/>
      <c r="B18" s="1"/>
      <c r="C18" s="1"/>
      <c r="D18" s="1"/>
      <c r="E18" s="1"/>
      <c r="F18" s="1"/>
      <c r="G18" s="1"/>
      <c r="H18" s="1"/>
      <c r="I18" s="1"/>
      <c r="J18" s="1"/>
      <c r="K18" s="1"/>
      <c r="L18" s="373" t="str">
        <f>INDEX(PO!K$12:K$29,MATCH($A20,PO!$V$12:$V$29,0))</f>
        <v>1.</v>
      </c>
      <c r="M18" s="375" t="str">
        <f>INDEX(PO!N$12:N$29,MATCH($A20,PO!$V$12:$V$29,0))</f>
        <v>SERVIÇOS PRELIMINARES</v>
      </c>
      <c r="N18" s="386">
        <f>IF(ROUND(K20,2)=0,K20,ROUND(K20,2))</f>
        <v>1E-12</v>
      </c>
      <c r="O18" s="203" t="s">
        <v>143</v>
      </c>
      <c r="P18" s="225">
        <v>1</v>
      </c>
      <c r="Q18" s="226">
        <v>0</v>
      </c>
      <c r="R18" s="226">
        <v>0</v>
      </c>
      <c r="S18" s="226">
        <v>0</v>
      </c>
      <c r="T18" s="226">
        <f>IF($B20,0,T19-IF(ISNUMBER(S19),S19,0))</f>
        <v>0</v>
      </c>
      <c r="U18" s="226">
        <f>IF($B20,0,U19-IF(ISNUMBER(T19),T19,0))</f>
        <v>0</v>
      </c>
      <c r="V18" s="226">
        <f>IF($B20,0,V19-IF(ISNUMBER(U19),U19,0))</f>
        <v>0</v>
      </c>
      <c r="W18" s="227">
        <f>IF($B20,0,W19-IF(ISNUMBER(V19),V19,0))</f>
        <v>0</v>
      </c>
      <c r="X18" s="197" t="s">
        <v>106</v>
      </c>
      <c r="AC18" s="221">
        <f>IF($B20,0,AC19-IF(ISNUMBER(AB19),AB19,0))</f>
        <v>0</v>
      </c>
    </row>
    <row r="19" spans="1:29" ht="14.25">
      <c r="A19" s="1"/>
      <c r="B19" s="1"/>
      <c r="C19" s="1"/>
      <c r="D19" s="1"/>
      <c r="E19" s="1"/>
      <c r="F19" s="1"/>
      <c r="G19" s="1"/>
      <c r="H19" s="1"/>
      <c r="I19" s="1"/>
      <c r="J19" s="1"/>
      <c r="K19" s="1"/>
      <c r="L19" s="374"/>
      <c r="M19" s="376"/>
      <c r="N19" s="387"/>
      <c r="O19" s="170" t="s">
        <v>145</v>
      </c>
      <c r="P19" s="198">
        <f aca="true" t="shared" si="7" ref="P19:W19">MIN(IF($B20,P18+IF(ISNUMBER(O19),O19,0),P20/$N18),1)</f>
        <v>1</v>
      </c>
      <c r="Q19" s="168">
        <f t="shared" si="7"/>
        <v>1</v>
      </c>
      <c r="R19" s="168">
        <f t="shared" si="7"/>
        <v>1</v>
      </c>
      <c r="S19" s="168">
        <f t="shared" si="7"/>
        <v>1</v>
      </c>
      <c r="T19" s="168">
        <f t="shared" si="7"/>
        <v>1</v>
      </c>
      <c r="U19" s="168">
        <f t="shared" si="7"/>
        <v>1</v>
      </c>
      <c r="V19" s="168">
        <f t="shared" si="7"/>
        <v>1</v>
      </c>
      <c r="W19" s="168">
        <f t="shared" si="7"/>
        <v>1</v>
      </c>
      <c r="X19" s="196"/>
      <c r="AC19" s="168">
        <f>MIN(IF($B20,AC18+IF(ISNUMBER(AB19),AB19,0),AC20/$N18),1)</f>
        <v>0</v>
      </c>
    </row>
    <row r="20" spans="1:29" ht="14.25">
      <c r="A20" s="114">
        <f ca="1">OFFSET(A20,-CFF.NumLinha,0)+1</f>
        <v>1</v>
      </c>
      <c r="B20" s="1" t="b">
        <f ca="1">$C20&gt;=OFFSET($C20,CFF.NumLinha,0)</f>
        <v>1</v>
      </c>
      <c r="C20" s="184">
        <f>INDEX(PO!A$12:A$29,MATCH($A20,PO!$V$12:$V$29,0))</f>
        <v>1</v>
      </c>
      <c r="D20" s="184">
        <f>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MATCH(0,OFFSET($D20,1,$C20,ROW($A$27)-ROW($A20)),0)</f>
        <v>7</v>
      </c>
      <c r="J20" s="184">
        <f ca="1">MATCH(OFFSET($D20,0,$C20)+1,OFFSET($D20,1,$C20,ROW($A$27)-ROW($A20)),0)</f>
        <v>3</v>
      </c>
      <c r="K20" s="185">
        <f>ROUND(INDEX(PO!T$12:T$29,MATCH($A20,PO!$V$12:$V$29,0)),2)+10^-12</f>
        <v>1E-12</v>
      </c>
      <c r="L20" s="374"/>
      <c r="M20" s="376"/>
      <c r="N20" s="387"/>
      <c r="O20" s="204" t="s">
        <v>20</v>
      </c>
      <c r="P20" s="199">
        <f aca="true" ca="1" t="shared" si="8" ref="P20:W20">IF($B20,ROUND(P19*$N18,2),ROUND(SUMIF(OFFSET($B20,1,0,$D20),TRUE,OFFSET(P20,1,0,$D20))/SUMIF(OFFSET($B20,1,0,$D20),TRUE,OFFSET($K20,1,0,$D20))*$N18,2))</f>
        <v>0</v>
      </c>
      <c r="Q20" s="169">
        <f ca="1" t="shared" si="8"/>
        <v>0</v>
      </c>
      <c r="R20" s="169">
        <f ca="1" t="shared" si="8"/>
        <v>0</v>
      </c>
      <c r="S20" s="169">
        <f ca="1" t="shared" si="8"/>
        <v>0</v>
      </c>
      <c r="T20" s="169">
        <f ca="1" t="shared" si="8"/>
        <v>0</v>
      </c>
      <c r="U20" s="169">
        <f ca="1" t="shared" si="8"/>
        <v>0</v>
      </c>
      <c r="V20" s="169">
        <f ca="1" t="shared" si="8"/>
        <v>0</v>
      </c>
      <c r="W20" s="207">
        <f ca="1" t="shared" si="8"/>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73" t="str">
        <f>INDEX(PO!K$12:K$29,MATCH($A23,PO!$V$12:$V$29,0))</f>
        <v>2.</v>
      </c>
      <c r="M21" s="375" t="str">
        <f>INDEX(PO!N$12:N$29,MATCH($A23,PO!$V$12:$V$29,0))</f>
        <v>DRENAGEM</v>
      </c>
      <c r="N21" s="386">
        <f>IF(ROUND(K23,2)=0,K23,ROUND(K23,2))</f>
        <v>1E-12</v>
      </c>
      <c r="O21" s="220" t="s">
        <v>143</v>
      </c>
      <c r="P21" s="225">
        <v>1</v>
      </c>
      <c r="Q21" s="226">
        <v>0</v>
      </c>
      <c r="R21" s="226">
        <v>0</v>
      </c>
      <c r="S21" s="226">
        <v>0</v>
      </c>
      <c r="T21" s="226">
        <v>0</v>
      </c>
      <c r="U21" s="226">
        <v>0</v>
      </c>
      <c r="V21" s="226">
        <v>0</v>
      </c>
      <c r="W21" s="227">
        <v>0</v>
      </c>
      <c r="X21" s="196"/>
      <c r="AC21" s="221">
        <f>IF($B23,0,AC22-IF(ISNUMBER(AB22),AB22,0))</f>
        <v>0</v>
      </c>
    </row>
    <row r="22" spans="1:29" ht="14.25">
      <c r="A22" s="184"/>
      <c r="B22" s="184"/>
      <c r="C22" s="184"/>
      <c r="D22" s="184"/>
      <c r="E22" s="184"/>
      <c r="F22" s="184"/>
      <c r="G22" s="184"/>
      <c r="H22" s="184"/>
      <c r="I22" s="184"/>
      <c r="J22" s="184"/>
      <c r="K22" s="184"/>
      <c r="L22" s="374"/>
      <c r="M22" s="376"/>
      <c r="N22" s="387"/>
      <c r="O22" s="170" t="s">
        <v>145</v>
      </c>
      <c r="P22" s="198">
        <f aca="true" t="shared" si="9" ref="P22:W22">MIN(IF($B23,P21+IF(ISNUMBER(O22),O22,0),P23/$N21),1)</f>
        <v>1</v>
      </c>
      <c r="Q22" s="168">
        <f t="shared" si="9"/>
        <v>1</v>
      </c>
      <c r="R22" s="168">
        <f t="shared" si="9"/>
        <v>1</v>
      </c>
      <c r="S22" s="168">
        <f t="shared" si="9"/>
        <v>1</v>
      </c>
      <c r="T22" s="168">
        <f t="shared" si="9"/>
        <v>1</v>
      </c>
      <c r="U22" s="168">
        <f t="shared" si="9"/>
        <v>1</v>
      </c>
      <c r="V22" s="168">
        <f t="shared" si="9"/>
        <v>1</v>
      </c>
      <c r="W22" s="168">
        <f t="shared" si="9"/>
        <v>1</v>
      </c>
      <c r="X22" s="196"/>
      <c r="AC22" s="168">
        <f>MIN(IF($B23,AC21+IF(ISNUMBER(AB22),AB22,0),AC23/$N21),1)</f>
        <v>0</v>
      </c>
    </row>
    <row r="23" spans="1:29" ht="14.25">
      <c r="A23" s="184">
        <f ca="1">OFFSET(A23,-CFF.NumLinha,0)+1</f>
        <v>2</v>
      </c>
      <c r="B23" s="184" t="b">
        <f ca="1">$C23&gt;=OFFSET($C23,CFF.NumLinha,0)</f>
        <v>1</v>
      </c>
      <c r="C23" s="184">
        <f>INDEX(PO!A$12:A$29,MATCH($A23,PO!$V$12:$V$29,0))</f>
        <v>1</v>
      </c>
      <c r="D23" s="184">
        <f>IF(ISERROR(J23),I23,SMALL(I23:J23,1))-1</f>
        <v>2</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ca="1">MATCH(0,OFFSET($D23,1,$C23,ROW($A$27)-ROW($A23)),0)</f>
        <v>4</v>
      </c>
      <c r="J23" s="184">
        <f ca="1">MATCH(OFFSET($D23,0,$C23)+1,OFFSET($D23,1,$C23,ROW($A$27)-ROW($A23)),0)</f>
        <v>3</v>
      </c>
      <c r="K23" s="185">
        <f>ROUND(INDEX(PO!T$12:T$29,MATCH($A23,PO!$V$12:$V$29,0)),2)+10^-12</f>
        <v>1E-12</v>
      </c>
      <c r="L23" s="374"/>
      <c r="M23" s="376"/>
      <c r="N23" s="387"/>
      <c r="O23" s="204" t="s">
        <v>20</v>
      </c>
      <c r="P23" s="199">
        <f ca="1">IF($B23,ROUND(P22*$N21,2),ROUND(SUMIF(OFFSET($B23,1,0,$D23),TRUE,OFFSET(P23,1,0,$D23))/SUMIF(OFFSET($B23,1,0,$D23),TRUE,OFFSET($K23,1,0,$D23))*$N21,2))</f>
        <v>0</v>
      </c>
      <c r="Q23" s="169">
        <f aca="true" ca="1" t="shared" si="10" ref="Q23:W23">IF($B23,ROUND(Q22*$N21,2),ROUND(SUMIF(OFFSET($B23,1,0,$D23),TRUE,OFFSET(Q23,1,0,$D23))/SUMIF(OFFSET($B23,1,0,$D23),TRUE,OFFSET($K23,1,0,$D23))*$N21,2))</f>
        <v>0</v>
      </c>
      <c r="R23" s="169">
        <f ca="1" t="shared" si="10"/>
        <v>0</v>
      </c>
      <c r="S23" s="169">
        <f ca="1" t="shared" si="10"/>
        <v>0</v>
      </c>
      <c r="T23" s="169">
        <f ca="1" t="shared" si="10"/>
        <v>0</v>
      </c>
      <c r="U23" s="169">
        <f ca="1" t="shared" si="10"/>
        <v>0</v>
      </c>
      <c r="V23" s="169">
        <f ca="1" t="shared" si="10"/>
        <v>0</v>
      </c>
      <c r="W23" s="207">
        <f ca="1" t="shared" si="10"/>
        <v>0</v>
      </c>
      <c r="X23" s="196"/>
      <c r="AC23" s="169">
        <f ca="1">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73" t="str">
        <f>INDEX(PO!K$12:K$29,MATCH($A26,PO!$V$12:$V$29,0))</f>
        <v>3.</v>
      </c>
      <c r="M24" s="375" t="str">
        <f>INDEX(PO!N$12:N$29,MATCH($A26,PO!$V$12:$V$29,0))</f>
        <v>PAVIMENTAÇÃO</v>
      </c>
      <c r="N24" s="386">
        <f>IF(ROUND(K26,2)=0,K26,ROUND(K26,2))</f>
        <v>1E-12</v>
      </c>
      <c r="O24" s="220" t="s">
        <v>143</v>
      </c>
      <c r="P24" s="225">
        <v>0.3</v>
      </c>
      <c r="Q24" s="226">
        <v>0.3</v>
      </c>
      <c r="R24" s="226">
        <v>0.4</v>
      </c>
      <c r="S24" s="226">
        <v>0</v>
      </c>
      <c r="T24" s="226">
        <v>0</v>
      </c>
      <c r="U24" s="226">
        <v>0</v>
      </c>
      <c r="V24" s="226">
        <v>0</v>
      </c>
      <c r="W24" s="227">
        <v>0</v>
      </c>
      <c r="X24" s="196"/>
      <c r="AC24" s="221">
        <f>IF($B26,0,AC25-IF(ISNUMBER(AB25),AB25,0))</f>
        <v>0</v>
      </c>
    </row>
    <row r="25" spans="1:29" ht="14.25">
      <c r="A25" s="184"/>
      <c r="B25" s="184"/>
      <c r="C25" s="184"/>
      <c r="D25" s="184"/>
      <c r="E25" s="184"/>
      <c r="F25" s="184"/>
      <c r="G25" s="184"/>
      <c r="H25" s="184"/>
      <c r="I25" s="184"/>
      <c r="J25" s="184"/>
      <c r="K25" s="184"/>
      <c r="L25" s="374"/>
      <c r="M25" s="376"/>
      <c r="N25" s="387"/>
      <c r="O25" s="170" t="s">
        <v>145</v>
      </c>
      <c r="P25" s="198">
        <f aca="true" t="shared" si="11" ref="P25:W25">MIN(IF($B26,P24+IF(ISNUMBER(O25),O25,0),P26/$N24),1)</f>
        <v>0.3</v>
      </c>
      <c r="Q25" s="168">
        <f t="shared" si="11"/>
        <v>0.6</v>
      </c>
      <c r="R25" s="168">
        <f t="shared" si="11"/>
        <v>1</v>
      </c>
      <c r="S25" s="168">
        <f t="shared" si="11"/>
        <v>1</v>
      </c>
      <c r="T25" s="168">
        <f t="shared" si="11"/>
        <v>1</v>
      </c>
      <c r="U25" s="168">
        <f t="shared" si="11"/>
        <v>1</v>
      </c>
      <c r="V25" s="168">
        <f t="shared" si="11"/>
        <v>1</v>
      </c>
      <c r="W25" s="168">
        <f t="shared" si="11"/>
        <v>1</v>
      </c>
      <c r="X25" s="196"/>
      <c r="AC25" s="168">
        <f>MIN(IF($B26,AC24+IF(ISNUMBER(AB25),AB25,0),AC26/$N24),1)</f>
        <v>0</v>
      </c>
    </row>
    <row r="26" spans="1:29" ht="14.25">
      <c r="A26" s="184">
        <f ca="1">OFFSET(A26,-CFF.NumLinha,0)+1</f>
        <v>3</v>
      </c>
      <c r="B26" s="184" t="b">
        <f ca="1">$C26&gt;=OFFSET($C26,CFF.NumLinha,0)</f>
        <v>1</v>
      </c>
      <c r="C26" s="184">
        <f>INDEX(PO!A$12:A$29,MATCH($A26,PO!$V$12:$V$29,0))</f>
        <v>1</v>
      </c>
      <c r="D26" s="184">
        <f>IF(ISERROR(J26),I26,SMALL(I26:J26,1))-1</f>
        <v>0</v>
      </c>
      <c r="E26" s="184">
        <f ca="1">IF($C26=1,OFFSET(E26,-CFF.NumLinha,0)+1,OFFSET(E26,-CFF.NumLinha,0))</f>
        <v>3</v>
      </c>
      <c r="F26" s="184">
        <f ca="1">IF($C26=1,0,IF($C26=2,OFFSET(F26,-CFF.NumLinha,0)+1,OFFSET(F26,-CFF.NumLinha,0)))</f>
        <v>0</v>
      </c>
      <c r="G26" s="184">
        <f ca="1">IF(AND($C26&lt;=2,$C26&lt;&gt;0),0,IF($C26=3,OFFSET(G26,-CFF.NumLinha,0)+1,OFFSET(G26,-CFF.NumLinha,0)))</f>
        <v>0</v>
      </c>
      <c r="H26" s="184">
        <f ca="1">IF(AND($C26&lt;=3,$C26&lt;&gt;0),0,IF($C26=4,OFFSET(H26,-CFF.NumLinha,0)+1,OFFSET(H26,-CFF.NumLinha,0)))</f>
        <v>0</v>
      </c>
      <c r="I26" s="184">
        <f ca="1">MATCH(0,OFFSET($D26,1,$C26,ROW($A$27)-ROW($A26)),0)</f>
        <v>1</v>
      </c>
      <c r="J26" s="184" t="e">
        <f ca="1">MATCH(OFFSET($D26,0,$C26)+1,OFFSET($D26,1,$C26,ROW($A$27)-ROW($A26)),0)</f>
        <v>#N/A</v>
      </c>
      <c r="K26" s="185">
        <f>ROUND(INDEX(PO!T$12:T$29,MATCH($A26,PO!$V$12:$V$29,0)),2)+10^-12</f>
        <v>1E-12</v>
      </c>
      <c r="L26" s="374"/>
      <c r="M26" s="376"/>
      <c r="N26" s="387"/>
      <c r="O26" s="204" t="s">
        <v>20</v>
      </c>
      <c r="P26" s="199">
        <f aca="true" ca="1" t="shared" si="12" ref="P26:W26">IF($B26,ROUND(P25*$N24,2),ROUND(SUMIF(OFFSET($B26,1,0,$D26),TRUE,OFFSET(P26,1,0,$D26))/SUMIF(OFFSET($B26,1,0,$D26),TRUE,OFFSET($K26,1,0,$D26))*$N24,2))</f>
        <v>0</v>
      </c>
      <c r="Q26" s="169">
        <f ca="1" t="shared" si="12"/>
        <v>0</v>
      </c>
      <c r="R26" s="169">
        <f ca="1" t="shared" si="12"/>
        <v>0</v>
      </c>
      <c r="S26" s="169">
        <f ca="1" t="shared" si="12"/>
        <v>0</v>
      </c>
      <c r="T26" s="169">
        <f ca="1" t="shared" si="12"/>
        <v>0</v>
      </c>
      <c r="U26" s="169">
        <f ca="1" t="shared" si="12"/>
        <v>0</v>
      </c>
      <c r="V26" s="169">
        <f ca="1" t="shared" si="12"/>
        <v>0</v>
      </c>
      <c r="W26" s="207">
        <f ca="1" t="shared" si="12"/>
        <v>0</v>
      </c>
      <c r="X26" s="196"/>
      <c r="AC26" s="169">
        <f ca="1">IF($B26,ROUND(AC25*$N24,2),ROUND(SUMIF(OFFSET($B26,1,0,$D26),TRUE,OFFSET(AC26,1,0,$D26))/SUMIF(OFFSET($B26,1,0,$D26),TRUE,OFFSET($K26,1,0,$D26))*$N24,2))</f>
        <v>0</v>
      </c>
    </row>
    <row r="27" spans="1:29" s="45" customFormat="1" ht="12.75" customHeight="1">
      <c r="A27" s="1"/>
      <c r="B27" s="1"/>
      <c r="C27" s="184">
        <v>-1</v>
      </c>
      <c r="D27" s="184"/>
      <c r="E27" s="184">
        <v>0</v>
      </c>
      <c r="F27" s="184">
        <v>0</v>
      </c>
      <c r="G27" s="184">
        <v>0</v>
      </c>
      <c r="H27" s="184">
        <v>0</v>
      </c>
      <c r="I27" s="1"/>
      <c r="J27" s="1"/>
      <c r="K27" s="1"/>
      <c r="L27" s="154"/>
      <c r="M27" s="154"/>
      <c r="N27" s="155"/>
      <c r="O27" s="154"/>
      <c r="P27" s="154"/>
      <c r="Q27" s="155"/>
      <c r="R27" s="154"/>
      <c r="S27" s="154"/>
      <c r="T27" s="154"/>
      <c r="U27" s="154"/>
      <c r="V27" s="154"/>
      <c r="W27" s="154"/>
      <c r="X27" s="186"/>
      <c r="AC27" s="154"/>
    </row>
    <row r="28" spans="1:29" ht="12" customHeight="1">
      <c r="A28" s="1"/>
      <c r="B28" s="1"/>
      <c r="C28" s="1"/>
      <c r="D28" s="1"/>
      <c r="E28" s="1"/>
      <c r="F28" s="1"/>
      <c r="G28" s="1"/>
      <c r="H28" s="1"/>
      <c r="I28" s="1"/>
      <c r="J28" s="1"/>
      <c r="K28" s="1"/>
      <c r="L28" s="187"/>
      <c r="M28" s="187"/>
      <c r="N28" s="187"/>
      <c r="O28" s="187"/>
      <c r="P28" s="187"/>
      <c r="Q28" s="187"/>
      <c r="R28" s="187"/>
      <c r="S28" s="187"/>
      <c r="T28" s="187"/>
      <c r="U28" s="187"/>
      <c r="V28" s="187"/>
      <c r="W28" s="187"/>
      <c r="X28" s="188"/>
      <c r="AC28" s="187"/>
    </row>
    <row r="29" spans="1:29" ht="12.75">
      <c r="A29" s="1"/>
      <c r="B29" s="1"/>
      <c r="C29" s="1"/>
      <c r="D29" s="1"/>
      <c r="E29" s="1"/>
      <c r="F29" s="1"/>
      <c r="G29" s="1"/>
      <c r="H29" s="1"/>
      <c r="I29" s="1"/>
      <c r="J29" s="1"/>
      <c r="K29" s="1"/>
      <c r="L29" s="391">
        <f>DADOS!I32</f>
        <v>0</v>
      </c>
      <c r="M29" s="391"/>
      <c r="N29" s="391"/>
      <c r="O29" s="187"/>
      <c r="P29" s="189"/>
      <c r="Q29" s="388"/>
      <c r="R29" s="388"/>
      <c r="S29" s="388"/>
      <c r="T29" s="187"/>
      <c r="U29" s="187"/>
      <c r="V29" s="187"/>
      <c r="W29" s="187"/>
      <c r="X29" s="188"/>
      <c r="AC29" s="187"/>
    </row>
    <row r="30" spans="1:29" ht="12.75">
      <c r="A30" s="1"/>
      <c r="B30" s="1"/>
      <c r="C30" s="1"/>
      <c r="D30" s="1"/>
      <c r="E30" s="1"/>
      <c r="F30" s="1"/>
      <c r="G30" s="1"/>
      <c r="H30" s="1"/>
      <c r="I30" s="1"/>
      <c r="J30" s="1"/>
      <c r="K30" s="1"/>
      <c r="L30" s="190" t="s">
        <v>120</v>
      </c>
      <c r="M30" s="390"/>
      <c r="N30" s="390"/>
      <c r="O30" s="187"/>
      <c r="P30" s="189"/>
      <c r="Q30" s="388"/>
      <c r="R30" s="388"/>
      <c r="S30" s="388"/>
      <c r="T30" s="187"/>
      <c r="U30" s="187"/>
      <c r="V30" s="187"/>
      <c r="W30" s="187"/>
      <c r="X30" s="188"/>
      <c r="AC30" s="187"/>
    </row>
    <row r="31" spans="1:29" ht="12.75">
      <c r="A31" s="1"/>
      <c r="B31" s="1"/>
      <c r="C31" s="1"/>
      <c r="D31" s="1"/>
      <c r="E31" s="1"/>
      <c r="F31" s="1"/>
      <c r="G31" s="1"/>
      <c r="H31" s="1"/>
      <c r="I31" s="1"/>
      <c r="J31" s="1"/>
      <c r="K31" s="1"/>
      <c r="L31" s="189"/>
      <c r="M31" s="389"/>
      <c r="N31" s="390"/>
      <c r="O31" s="187"/>
      <c r="P31" s="189"/>
      <c r="Q31" s="388"/>
      <c r="R31" s="388"/>
      <c r="S31" s="388"/>
      <c r="T31" s="187"/>
      <c r="U31" s="187"/>
      <c r="V31" s="187"/>
      <c r="W31" s="187"/>
      <c r="X31" s="188"/>
      <c r="AC31" s="187"/>
    </row>
    <row r="32" spans="1:29" ht="12.75">
      <c r="A32" s="1"/>
      <c r="B32" s="1"/>
      <c r="C32" s="1"/>
      <c r="D32" s="1"/>
      <c r="E32" s="1"/>
      <c r="F32" s="1"/>
      <c r="G32" s="1"/>
      <c r="H32" s="1"/>
      <c r="I32" s="1"/>
      <c r="J32" s="1"/>
      <c r="K32" s="1"/>
      <c r="L32" s="372">
        <f>PO!K43</f>
        <v>43319</v>
      </c>
      <c r="M32" s="372"/>
      <c r="N32" s="372"/>
      <c r="O32" s="187"/>
      <c r="P32" s="187"/>
      <c r="Q32" s="187"/>
      <c r="R32" s="187"/>
      <c r="S32" s="187"/>
      <c r="T32" s="187"/>
      <c r="U32" s="187"/>
      <c r="V32" s="187"/>
      <c r="W32" s="187"/>
      <c r="X32" s="191"/>
      <c r="AC32" s="187"/>
    </row>
    <row r="33" spans="1:29" ht="12.75">
      <c r="A33" s="1"/>
      <c r="B33" s="1"/>
      <c r="C33" s="1"/>
      <c r="D33" s="1"/>
      <c r="E33" s="1"/>
      <c r="F33" s="1"/>
      <c r="G33" s="1"/>
      <c r="H33" s="1"/>
      <c r="I33" s="1"/>
      <c r="J33" s="1"/>
      <c r="K33" s="1"/>
      <c r="L33" s="192" t="s">
        <v>121</v>
      </c>
      <c r="M33" s="193"/>
      <c r="N33" s="193"/>
      <c r="O33" s="187"/>
      <c r="P33" s="187"/>
      <c r="Q33" s="187"/>
      <c r="R33" s="187"/>
      <c r="S33" s="187"/>
      <c r="T33" s="187"/>
      <c r="U33" s="187"/>
      <c r="V33" s="187"/>
      <c r="W33" s="187"/>
      <c r="X33" s="191"/>
      <c r="AC33" s="187"/>
    </row>
    <row r="34" spans="1:29" ht="12.75">
      <c r="A34" s="1"/>
      <c r="B34" s="1"/>
      <c r="C34" s="1"/>
      <c r="D34" s="1"/>
      <c r="E34" s="1"/>
      <c r="F34" s="1"/>
      <c r="G34" s="1"/>
      <c r="H34" s="1"/>
      <c r="I34" s="1"/>
      <c r="J34" s="1"/>
      <c r="K34" s="1"/>
      <c r="L34" s="187"/>
      <c r="M34" s="187"/>
      <c r="N34" s="187"/>
      <c r="O34" s="187"/>
      <c r="P34" s="187"/>
      <c r="Q34" s="187"/>
      <c r="R34" s="187"/>
      <c r="S34" s="187"/>
      <c r="T34" s="187"/>
      <c r="U34" s="187"/>
      <c r="V34" s="187"/>
      <c r="W34" s="187"/>
      <c r="X34" s="191"/>
      <c r="AC34" s="187"/>
    </row>
    <row r="35" spans="1:29" ht="12.75">
      <c r="A35" s="1"/>
      <c r="B35" s="1"/>
      <c r="C35" s="1"/>
      <c r="D35" s="1"/>
      <c r="E35" s="1"/>
      <c r="F35" s="1"/>
      <c r="G35" s="1"/>
      <c r="H35" s="1"/>
      <c r="I35" s="1"/>
      <c r="J35" s="1"/>
      <c r="K35" s="1"/>
      <c r="L35" s="187"/>
      <c r="M35" s="187"/>
      <c r="N35" s="194"/>
      <c r="O35" s="187"/>
      <c r="P35" s="187"/>
      <c r="Q35" s="187"/>
      <c r="R35" s="187"/>
      <c r="S35" s="187"/>
      <c r="T35" s="187"/>
      <c r="U35" s="187"/>
      <c r="V35" s="187"/>
      <c r="W35" s="187"/>
      <c r="X35" s="188"/>
      <c r="AC35" s="187"/>
    </row>
    <row r="36" spans="1:29" ht="12.75">
      <c r="A36" s="1"/>
      <c r="B36" s="1"/>
      <c r="C36" s="1"/>
      <c r="D36" s="1"/>
      <c r="E36" s="1"/>
      <c r="F36" s="1"/>
      <c r="G36" s="1"/>
      <c r="H36" s="1"/>
      <c r="I36" s="1"/>
      <c r="J36" s="1"/>
      <c r="K36" s="1"/>
      <c r="L36" s="187"/>
      <c r="M36" s="187"/>
      <c r="N36" s="194"/>
      <c r="O36" s="187"/>
      <c r="P36" s="187"/>
      <c r="Q36" s="187"/>
      <c r="R36" s="187"/>
      <c r="S36" s="187"/>
      <c r="T36" s="187"/>
      <c r="U36" s="187"/>
      <c r="V36" s="187"/>
      <c r="W36" s="187"/>
      <c r="X36" s="188"/>
      <c r="AC36" s="187"/>
    </row>
    <row r="37" spans="1:29" ht="12.75">
      <c r="A37" s="1"/>
      <c r="B37" s="1"/>
      <c r="C37" s="1"/>
      <c r="D37" s="1"/>
      <c r="E37" s="1"/>
      <c r="F37" s="1"/>
      <c r="G37" s="1"/>
      <c r="H37" s="1"/>
      <c r="I37" s="1"/>
      <c r="J37" s="1"/>
      <c r="K37" s="1"/>
      <c r="L37" s="82"/>
      <c r="M37" s="82"/>
      <c r="N37" s="7"/>
      <c r="O37" s="82"/>
      <c r="P37" s="82"/>
      <c r="Q37" s="82"/>
      <c r="R37" s="82"/>
      <c r="S37" s="82"/>
      <c r="T37" s="82"/>
      <c r="U37" s="82"/>
      <c r="V37" s="82"/>
      <c r="W37" s="187"/>
      <c r="X37" s="188"/>
      <c r="AC37" s="82"/>
    </row>
  </sheetData>
  <sheetProtection password="C95B" sheet="1" objects="1" scenarios="1"/>
  <mergeCells count="22">
    <mergeCell ref="M24:M26"/>
    <mergeCell ref="N24:N26"/>
    <mergeCell ref="L8:M8"/>
    <mergeCell ref="N11:N13"/>
    <mergeCell ref="M18:M20"/>
    <mergeCell ref="N18:N20"/>
    <mergeCell ref="Q31:S31"/>
    <mergeCell ref="M31:N31"/>
    <mergeCell ref="Q30:S30"/>
    <mergeCell ref="Q29:S29"/>
    <mergeCell ref="L29:N29"/>
    <mergeCell ref="M30:N30"/>
    <mergeCell ref="L32:N32"/>
    <mergeCell ref="L11:L13"/>
    <mergeCell ref="M11:M13"/>
    <mergeCell ref="L14:M17"/>
    <mergeCell ref="N14:N17"/>
    <mergeCell ref="L18:L20"/>
    <mergeCell ref="L21:L23"/>
    <mergeCell ref="M21:M23"/>
    <mergeCell ref="N21:N23"/>
    <mergeCell ref="L24:L26"/>
  </mergeCells>
  <conditionalFormatting sqref="L11:N11 L12:M13 L18:N18">
    <cfRule type="expression" priority="1052" dxfId="271" stopIfTrue="1">
      <formula>$C13=1</formula>
    </cfRule>
  </conditionalFormatting>
  <conditionalFormatting sqref="O11 O18">
    <cfRule type="expression" priority="1124" dxfId="2" stopIfTrue="1">
      <formula>$B13=FALSE</formula>
    </cfRule>
    <cfRule type="expression" priority="1125" dxfId="275" stopIfTrue="1">
      <formula>$C13=1</formula>
    </cfRule>
  </conditionalFormatting>
  <conditionalFormatting sqref="P12:W12">
    <cfRule type="expression" priority="1114" dxfId="7" stopIfTrue="1">
      <formula>AND(ISNUMBER(O13),O13&gt;=$N11)</formula>
    </cfRule>
    <cfRule type="cellIs" priority="1115" dxfId="4" operator="notBetween" stopIfTrue="1">
      <formula>0</formula>
      <formula>1</formula>
    </cfRule>
  </conditionalFormatting>
  <conditionalFormatting sqref="P13:W13">
    <cfRule type="expression" priority="1116" dxfId="5" stopIfTrue="1">
      <formula>AND(ISNUMBER(O13),O13&gt;=$N11)</formula>
    </cfRule>
    <cfRule type="cellIs" priority="1117" dxfId="4" operator="notBetween" stopIfTrue="1">
      <formula>0</formula>
      <formula>$N11</formula>
    </cfRule>
  </conditionalFormatting>
  <conditionalFormatting sqref="P14:W14">
    <cfRule type="expression" priority="1118" dxfId="5" stopIfTrue="1">
      <formula>AND(ISNUMBER(O17),O17&gt;=$N14)</formula>
    </cfRule>
  </conditionalFormatting>
  <conditionalFormatting sqref="P15:W15">
    <cfRule type="expression" priority="1119" dxfId="5" stopIfTrue="1">
      <formula>AND(ISNUMBER(O17),O17&gt;=$N14)</formula>
    </cfRule>
  </conditionalFormatting>
  <conditionalFormatting sqref="P16:W16">
    <cfRule type="expression" priority="1120" dxfId="5" stopIfTrue="1">
      <formula>AND(ISNUMBER(O17),O17&gt;=$N14)</formula>
    </cfRule>
    <cfRule type="cellIs" priority="1121" dxfId="4" operator="notBetween" stopIfTrue="1">
      <formula>0</formula>
      <formula>1</formula>
    </cfRule>
  </conditionalFormatting>
  <conditionalFormatting sqref="P17:W17">
    <cfRule type="expression" priority="1122" dxfId="5" stopIfTrue="1">
      <formula>AND(ISNUMBER(O17),O17&gt;=$N14)</formula>
    </cfRule>
    <cfRule type="cellIs" priority="1123" dxfId="4" operator="notBetween" stopIfTrue="1">
      <formula>0</formula>
      <formula>$N14</formula>
    </cfRule>
  </conditionalFormatting>
  <conditionalFormatting sqref="L8">
    <cfRule type="cellIs" priority="1109" dxfId="4" operator="notEqual" stopIfTrue="1">
      <formula>""</formula>
    </cfRule>
  </conditionalFormatting>
  <conditionalFormatting sqref="N9">
    <cfRule type="expression" priority="1108" dxfId="69" stopIfTrue="1">
      <formula>TipoOrçamento&lt;&gt;"REPROGRAMADOAC"</formula>
    </cfRule>
  </conditionalFormatting>
  <conditionalFormatting sqref="L19:M20">
    <cfRule type="expression" priority="1943" dxfId="271" stopIfTrue="1">
      <formula>CFF!#REF!=1</formula>
    </cfRule>
  </conditionalFormatting>
  <conditionalFormatting sqref="P11:W11">
    <cfRule type="expression" priority="263" dxfId="3" stopIfTrue="1">
      <formula>AND(ISNUMBER(O13),O13&gt;=$N11)</formula>
    </cfRule>
    <cfRule type="expression" priority="264" dxfId="2" stopIfTrue="1">
      <formula>$B13=FALSE</formula>
    </cfRule>
    <cfRule type="expression" priority="265" dxfId="275" stopIfTrue="1">
      <formula>$C13=1</formula>
    </cfRule>
  </conditionalFormatting>
  <conditionalFormatting sqref="P19:W19">
    <cfRule type="expression" priority="214" dxfId="7" stopIfTrue="1">
      <formula>AND(ISNUMBER(O20),O20&gt;=$N18)</formula>
    </cfRule>
    <cfRule type="cellIs" priority="215" dxfId="4" operator="notBetween" stopIfTrue="1">
      <formula>0</formula>
      <formula>1</formula>
    </cfRule>
  </conditionalFormatting>
  <conditionalFormatting sqref="P20:W20">
    <cfRule type="expression" priority="216" dxfId="5" stopIfTrue="1">
      <formula>AND(ISNUMBER(O20),O20&gt;=$N18)</formula>
    </cfRule>
    <cfRule type="cellIs" priority="217" dxfId="4" operator="notBetween" stopIfTrue="1">
      <formula>0</formula>
      <formula>$N18</formula>
    </cfRule>
  </conditionalFormatting>
  <conditionalFormatting sqref="O10:W10">
    <cfRule type="expression" priority="186" dxfId="276" stopIfTrue="1">
      <formula>1=1</formula>
    </cfRule>
  </conditionalFormatting>
  <conditionalFormatting sqref="P18:W18">
    <cfRule type="expression" priority="141" dxfId="3" stopIfTrue="1">
      <formula>AND(ISNUMBER(O20),O20&gt;=$N18)</formula>
    </cfRule>
    <cfRule type="expression" priority="142" dxfId="2" stopIfTrue="1">
      <formula>$B20=FALSE</formula>
    </cfRule>
    <cfRule type="expression" priority="143" dxfId="275" stopIfTrue="1">
      <formula>$C20=1</formula>
    </cfRule>
  </conditionalFormatting>
  <conditionalFormatting sqref="AC18">
    <cfRule type="expression" priority="61" dxfId="3" stopIfTrue="1">
      <formula>AND(ISNUMBER(AB20),AB20&gt;=$N18)</formula>
    </cfRule>
    <cfRule type="expression" priority="62" dxfId="2" stopIfTrue="1">
      <formula>$B20=FALSE</formula>
    </cfRule>
    <cfRule type="expression" priority="63" dxfId="275" stopIfTrue="1">
      <formula>$C20=1</formula>
    </cfRule>
  </conditionalFormatting>
  <conditionalFormatting sqref="AC12">
    <cfRule type="expression" priority="76" dxfId="7" stopIfTrue="1">
      <formula>AND(ISNUMBER(AB13),AB13&gt;=$N11)</formula>
    </cfRule>
    <cfRule type="cellIs" priority="77" dxfId="4" operator="notBetween" stopIfTrue="1">
      <formula>0</formula>
      <formula>1</formula>
    </cfRule>
  </conditionalFormatting>
  <conditionalFormatting sqref="AC13">
    <cfRule type="expression" priority="78" dxfId="5" stopIfTrue="1">
      <formula>AND(ISNUMBER(AB13),AB13&gt;=$N11)</formula>
    </cfRule>
    <cfRule type="cellIs" priority="79" dxfId="4" operator="notBetween" stopIfTrue="1">
      <formula>0</formula>
      <formula>$N11</formula>
    </cfRule>
  </conditionalFormatting>
  <conditionalFormatting sqref="AC14">
    <cfRule type="expression" priority="80" dxfId="5" stopIfTrue="1">
      <formula>AND(ISNUMBER(AB17),AB17&gt;=$N14)</formula>
    </cfRule>
  </conditionalFormatting>
  <conditionalFormatting sqref="AC15">
    <cfRule type="expression" priority="81" dxfId="5" stopIfTrue="1">
      <formula>AND(ISNUMBER(AB17),AB17&gt;=$N14)</formula>
    </cfRule>
  </conditionalFormatting>
  <conditionalFormatting sqref="AC16">
    <cfRule type="expression" priority="82" dxfId="5" stopIfTrue="1">
      <formula>AND(ISNUMBER(AB17),AB17&gt;=$N14)</formula>
    </cfRule>
    <cfRule type="cellIs" priority="83" dxfId="4" operator="notBetween" stopIfTrue="1">
      <formula>0</formula>
      <formula>1</formula>
    </cfRule>
  </conditionalFormatting>
  <conditionalFormatting sqref="AC17">
    <cfRule type="expression" priority="84" dxfId="5" stopIfTrue="1">
      <formula>AND(ISNUMBER(AB17),AB17&gt;=$N14)</formula>
    </cfRule>
    <cfRule type="cellIs" priority="85" dxfId="4" operator="notBetween" stopIfTrue="1">
      <formula>0</formula>
      <formula>$N14</formula>
    </cfRule>
  </conditionalFormatting>
  <conditionalFormatting sqref="AC11">
    <cfRule type="expression" priority="73" dxfId="3" stopIfTrue="1">
      <formula>AND(ISNUMBER(AB13),AB13&gt;=$N11)</formula>
    </cfRule>
    <cfRule type="expression" priority="74" dxfId="2" stopIfTrue="1">
      <formula>$B13=FALSE</formula>
    </cfRule>
    <cfRule type="expression" priority="75" dxfId="275" stopIfTrue="1">
      <formula>$C13=1</formula>
    </cfRule>
  </conditionalFormatting>
  <conditionalFormatting sqref="AC19">
    <cfRule type="expression" priority="69" dxfId="7" stopIfTrue="1">
      <formula>AND(ISNUMBER(AB20),AB20&gt;=$N18)</formula>
    </cfRule>
    <cfRule type="cellIs" priority="70" dxfId="4" operator="notBetween" stopIfTrue="1">
      <formula>0</formula>
      <formula>1</formula>
    </cfRule>
  </conditionalFormatting>
  <conditionalFormatting sqref="AC20">
    <cfRule type="expression" priority="71" dxfId="5" stopIfTrue="1">
      <formula>AND(ISNUMBER(AB20),AB20&gt;=$N18)</formula>
    </cfRule>
    <cfRule type="cellIs" priority="72" dxfId="4" operator="notBetween" stopIfTrue="1">
      <formula>0</formula>
      <formula>$N18</formula>
    </cfRule>
  </conditionalFormatting>
  <conditionalFormatting sqref="AC10">
    <cfRule type="expression" priority="64" dxfId="276" stopIfTrue="1">
      <formula>1=1</formula>
    </cfRule>
  </conditionalFormatting>
  <conditionalFormatting sqref="L21:N21">
    <cfRule type="expression" priority="45" dxfId="271" stopIfTrue="1">
      <formula>$C23=1</formula>
    </cfRule>
  </conditionalFormatting>
  <conditionalFormatting sqref="O21">
    <cfRule type="expression" priority="50" dxfId="2" stopIfTrue="1">
      <formula>$B23=FALSE</formula>
    </cfRule>
    <cfRule type="expression" priority="51" dxfId="275" stopIfTrue="1">
      <formula>$C23=1</formula>
    </cfRule>
  </conditionalFormatting>
  <conditionalFormatting sqref="P22:W22">
    <cfRule type="expression" priority="46" dxfId="7" stopIfTrue="1">
      <formula>AND(ISNUMBER(O23),O23&gt;=$N21)</formula>
    </cfRule>
    <cfRule type="cellIs" priority="47" dxfId="4" operator="notBetween" stopIfTrue="1">
      <formula>0</formula>
      <formula>1</formula>
    </cfRule>
  </conditionalFormatting>
  <conditionalFormatting sqref="P23:W23">
    <cfRule type="expression" priority="48" dxfId="5" stopIfTrue="1">
      <formula>AND(ISNUMBER(O23),O23&gt;=$N21)</formula>
    </cfRule>
    <cfRule type="cellIs" priority="49" dxfId="4" operator="notBetween" stopIfTrue="1">
      <formula>0</formula>
      <formula>$N21</formula>
    </cfRule>
  </conditionalFormatting>
  <conditionalFormatting sqref="P21:W21">
    <cfRule type="expression" priority="42" dxfId="3" stopIfTrue="1">
      <formula>AND(ISNUMBER(O23),O23&gt;=$N21)</formula>
    </cfRule>
    <cfRule type="expression" priority="43" dxfId="2" stopIfTrue="1">
      <formula>$B23=FALSE</formula>
    </cfRule>
    <cfRule type="expression" priority="44" dxfId="275" stopIfTrue="1">
      <formula>$C23=1</formula>
    </cfRule>
  </conditionalFormatting>
  <conditionalFormatting sqref="AC22">
    <cfRule type="expression" priority="38" dxfId="7" stopIfTrue="1">
      <formula>AND(ISNUMBER(AB23),AB23&gt;=$N21)</formula>
    </cfRule>
    <cfRule type="cellIs" priority="39" dxfId="4" operator="notBetween" stopIfTrue="1">
      <formula>0</formula>
      <formula>1</formula>
    </cfRule>
  </conditionalFormatting>
  <conditionalFormatting sqref="AC23">
    <cfRule type="expression" priority="40" dxfId="5" stopIfTrue="1">
      <formula>AND(ISNUMBER(AB23),AB23&gt;=$N21)</formula>
    </cfRule>
    <cfRule type="cellIs" priority="41" dxfId="4" operator="notBetween" stopIfTrue="1">
      <formula>0</formula>
      <formula>$N21</formula>
    </cfRule>
  </conditionalFormatting>
  <conditionalFormatting sqref="AC21">
    <cfRule type="expression" priority="35" dxfId="3" stopIfTrue="1">
      <formula>AND(ISNUMBER(AB23),AB23&gt;=$N21)</formula>
    </cfRule>
    <cfRule type="expression" priority="36" dxfId="2" stopIfTrue="1">
      <formula>$B23=FALSE</formula>
    </cfRule>
    <cfRule type="expression" priority="37" dxfId="275" stopIfTrue="1">
      <formula>$C23=1</formula>
    </cfRule>
  </conditionalFormatting>
  <conditionalFormatting sqref="L22:M23">
    <cfRule type="expression" priority="1990" dxfId="271" stopIfTrue="1">
      <formula>$C27=1</formula>
    </cfRule>
  </conditionalFormatting>
  <conditionalFormatting sqref="L24:N24">
    <cfRule type="expression" priority="28" dxfId="271" stopIfTrue="1">
      <formula>$C26=1</formula>
    </cfRule>
  </conditionalFormatting>
  <conditionalFormatting sqref="O24">
    <cfRule type="expression" priority="33" dxfId="2" stopIfTrue="1">
      <formula>$B26=FALSE</formula>
    </cfRule>
    <cfRule type="expression" priority="34" dxfId="275" stopIfTrue="1">
      <formula>$C26=1</formula>
    </cfRule>
  </conditionalFormatting>
  <conditionalFormatting sqref="P25:W25">
    <cfRule type="expression" priority="29" dxfId="7" stopIfTrue="1">
      <formula>AND(ISNUMBER(O26),O26&gt;=$N24)</formula>
    </cfRule>
    <cfRule type="cellIs" priority="30" dxfId="4" operator="notBetween" stopIfTrue="1">
      <formula>0</formula>
      <formula>1</formula>
    </cfRule>
  </conditionalFormatting>
  <conditionalFormatting sqref="P26:W26">
    <cfRule type="expression" priority="31" dxfId="5" stopIfTrue="1">
      <formula>AND(ISNUMBER(O26),O26&gt;=$N24)</formula>
    </cfRule>
    <cfRule type="cellIs" priority="32" dxfId="4" operator="notBetween" stopIfTrue="1">
      <formula>0</formula>
      <formula>$N24</formula>
    </cfRule>
  </conditionalFormatting>
  <conditionalFormatting sqref="P24:W24">
    <cfRule type="expression" priority="25" dxfId="3" stopIfTrue="1">
      <formula>AND(ISNUMBER(O26),O26&gt;=$N24)</formula>
    </cfRule>
    <cfRule type="expression" priority="26" dxfId="2" stopIfTrue="1">
      <formula>$B26=FALSE</formula>
    </cfRule>
    <cfRule type="expression" priority="27" dxfId="275" stopIfTrue="1">
      <formula>$C26=1</formula>
    </cfRule>
  </conditionalFormatting>
  <conditionalFormatting sqref="AC25">
    <cfRule type="expression" priority="21" dxfId="7" stopIfTrue="1">
      <formula>AND(ISNUMBER(AB26),AB26&gt;=$N24)</formula>
    </cfRule>
    <cfRule type="cellIs" priority="22" dxfId="4" operator="notBetween" stopIfTrue="1">
      <formula>0</formula>
      <formula>1</formula>
    </cfRule>
  </conditionalFormatting>
  <conditionalFormatting sqref="AC26">
    <cfRule type="expression" priority="23" dxfId="5" stopIfTrue="1">
      <formula>AND(ISNUMBER(AB26),AB26&gt;=$N24)</formula>
    </cfRule>
    <cfRule type="cellIs" priority="24" dxfId="4" operator="notBetween" stopIfTrue="1">
      <formula>0</formula>
      <formula>$N24</formula>
    </cfRule>
  </conditionalFormatting>
  <conditionalFormatting sqref="AC24">
    <cfRule type="expression" priority="18" dxfId="3" stopIfTrue="1">
      <formula>AND(ISNUMBER(AB26),AB26&gt;=$N24)</formula>
    </cfRule>
    <cfRule type="expression" priority="19" dxfId="2" stopIfTrue="1">
      <formula>$B26=FALSE</formula>
    </cfRule>
    <cfRule type="expression" priority="20" dxfId="275" stopIfTrue="1">
      <formula>$C26=1</formula>
    </cfRule>
  </conditionalFormatting>
  <conditionalFormatting sqref="L25:M26">
    <cfRule type="expression" priority="2019" dxfId="271" stopIfTrue="1">
      <formula>CFF!#REF!=1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AC21 P24:W24 AC24">
      <formula1>0</formula1>
      <formula2>1-SUM($P11:P11)+P11</formula2>
    </dataValidation>
  </dataValidations>
  <printOptions horizontalCentered="1"/>
  <pageMargins left="1.3474015748031496" right="0.7874015748031497" top="1.1674015748031497" bottom="0.7874015748031497" header="0.5905511811023623" footer="0.5905511811023623"/>
  <pageSetup fitToHeight="0" fitToWidth="0" horizontalDpi="600" verticalDpi="600" orientation="landscape" paperSize="9" scale="54"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2018-08-07T14:10:37Z</cp:lastPrinted>
  <dcterms:created xsi:type="dcterms:W3CDTF">1998-03-27T18:43:07Z</dcterms:created>
  <dcterms:modified xsi:type="dcterms:W3CDTF">2018-08-07T16:32:19Z</dcterms:modified>
  <cp:category/>
  <cp:version/>
  <cp:contentType/>
  <cp:contentStatus/>
</cp:coreProperties>
</file>